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62a1bb1391375f/Documents/FIUBA/Clases/2022 2Q - Bonos/"/>
    </mc:Choice>
  </mc:AlternateContent>
  <xr:revisionPtr revIDLastSave="15" documentId="8_{0CDCE427-C6FA-49AF-BB3C-6C700AF7AE55}" xr6:coauthVersionLast="47" xr6:coauthVersionMax="47" xr10:uidLastSave="{082390FC-EB3C-416A-B93B-F6B4AF70E3BD}"/>
  <bookViews>
    <workbookView xWindow="-108" yWindow="-108" windowWidth="23256" windowHeight="12456" activeTab="2" xr2:uid="{00000000-000D-0000-FFFF-FFFF00000000}"/>
  </bookViews>
  <sheets>
    <sheet name="Presupuesto 2019" sheetId="27" r:id="rId1"/>
    <sheet name="Cartera Actual" sheetId="26" r:id="rId2"/>
    <sheet name="Comparación Reestructuración" sheetId="23" r:id="rId3"/>
    <sheet name="Perfil Oferta Abril" sheetId="24" r:id="rId4"/>
    <sheet name="Perfil Oferta Julio" sheetId="28" r:id="rId5"/>
    <sheet name="Perfil Bonos Viejos" sheetId="19" r:id="rId6"/>
    <sheet name="BV Valores Mercado" sheetId="25" r:id="rId7"/>
    <sheet name="Notas Resultados Macro" sheetId="12" r:id="rId8"/>
    <sheet name="Diccio" sheetId="22" r:id="rId9"/>
    <sheet name="DICY" sheetId="20" r:id="rId10"/>
    <sheet name="PARY" sheetId="21" r:id="rId11"/>
    <sheet name="A2E3" sheetId="5" r:id="rId12"/>
    <sheet name="A2E2" sheetId="6" r:id="rId13"/>
    <sheet name="AA21" sheetId="7" r:id="rId14"/>
    <sheet name="A2E7" sheetId="8" r:id="rId15"/>
    <sheet name="A2E8" sheetId="9" r:id="rId16"/>
    <sheet name="AA26" sheetId="10" r:id="rId17"/>
    <sheet name="AA46" sheetId="11" r:id="rId18"/>
    <sheet name="AE48" sheetId="17" r:id="rId19"/>
    <sheet name="AL28" sheetId="18" r:id="rId20"/>
    <sheet name="AC17" sheetId="16" r:id="rId21"/>
    <sheet name="PBI-1980-2005" sheetId="13" r:id="rId22"/>
    <sheet name="PBI-2004-2019" sheetId="14" r:id="rId23"/>
    <sheet name="PBI Precios Corrientes" sheetId="15" r:id="rId24"/>
  </sheets>
  <externalReferences>
    <externalReference r:id="rId25"/>
  </externalReferences>
  <definedNames>
    <definedName name="_xlnm._FilterDatabase" localSheetId="21" hidden="1">'PBI-1980-2005'!#REF!</definedName>
    <definedName name="_xlnm.Print_Area" localSheetId="23">'PBI Precios Corrientes'!$A$1:$Q$82</definedName>
    <definedName name="_xlnm.Print_Area" localSheetId="21">'PBI-1980-2005'!$A$1:$AG$210</definedName>
    <definedName name="_xlnm.Print_Area" localSheetId="22">'PBI-2004-2019'!$A$1:$Q$84</definedName>
    <definedName name="AS" localSheetId="1" hidden="1">{#N/A,#N/A,FALSE,"TOTAL MEJORADO"}</definedName>
    <definedName name="AS" localSheetId="0" hidden="1">{#N/A,#N/A,FALSE,"TOTAL MEJORADO"}</definedName>
    <definedName name="AS" hidden="1">{#N/A,#N/A,FALSE,"TOTAL MEJORADO"}</definedName>
    <definedName name="Bonos_Nuevos" localSheetId="1">[1]Diccio!$D$3:$D$7</definedName>
    <definedName name="Bonos_Nuevos" localSheetId="0">[1]Diccio!$D$3:$D$7</definedName>
    <definedName name="Bonos_Nuevos">Diccio!$D$3:$D$7</definedName>
    <definedName name="Bonos_Viejos" localSheetId="1">[1]Diccio!$B$3:$B$14</definedName>
    <definedName name="Bonos_Viejos" localSheetId="0">[1]Diccio!$B$3:$B$14</definedName>
    <definedName name="Bonos_Viejos">Diccio!$B$3:$B$14</definedName>
    <definedName name="_xlnm.Print_Titles" localSheetId="23">'PBI Precios Corrientes'!$1:$6</definedName>
    <definedName name="_xlnm.Print_Titles" localSheetId="22">'PBI-2004-2019'!$1:$8</definedName>
    <definedName name="wrn.Total._.Mejorado." localSheetId="1" hidden="1">{#N/A,#N/A,FALSE,"TOTAL MEJORADO"}</definedName>
    <definedName name="wrn.Total._.Mejorado." localSheetId="0" hidden="1">{#N/A,#N/A,FALSE,"TOTAL MEJORADO"}</definedName>
    <definedName name="wrn.Total._.Mejorado." hidden="1">{#N/A,#N/A,FALSE,"TOTAL MEJORADO"}</definedName>
  </definedNames>
  <calcPr calcId="191029"/>
</workbook>
</file>

<file path=xl/calcChain.xml><?xml version="1.0" encoding="utf-8"?>
<calcChain xmlns="http://schemas.openxmlformats.org/spreadsheetml/2006/main">
  <c r="N16" i="27" l="1"/>
  <c r="M16" i="27"/>
  <c r="N14" i="27"/>
  <c r="N13" i="27"/>
  <c r="N7" i="27"/>
  <c r="N4" i="27"/>
  <c r="M4" i="27"/>
  <c r="M13" i="27"/>
  <c r="M14" i="27" s="1"/>
  <c r="M7" i="27"/>
  <c r="M20" i="27" l="1"/>
  <c r="H9" i="23" l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8" i="23"/>
  <c r="H7" i="23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D6" i="28"/>
  <c r="AF6" i="28" s="1"/>
  <c r="U15" i="28"/>
  <c r="U14" i="28"/>
  <c r="X7" i="28"/>
  <c r="Z7" i="28" s="1"/>
  <c r="X6" i="28"/>
  <c r="Z6" i="28" s="1"/>
  <c r="Y6" i="28" s="1"/>
  <c r="O14" i="28"/>
  <c r="I17" i="28"/>
  <c r="I18" i="28" s="1"/>
  <c r="I19" i="28" s="1"/>
  <c r="I20" i="28" s="1"/>
  <c r="I21" i="28" s="1"/>
  <c r="H7" i="28"/>
  <c r="H6" i="28"/>
  <c r="C16" i="28"/>
  <c r="C15" i="28"/>
  <c r="C14" i="28"/>
  <c r="C13" i="28"/>
  <c r="C12" i="28"/>
  <c r="C11" i="28"/>
  <c r="U27" i="28"/>
  <c r="U26" i="28"/>
  <c r="U25" i="28"/>
  <c r="U24" i="28"/>
  <c r="O24" i="28"/>
  <c r="U23" i="28"/>
  <c r="O23" i="28"/>
  <c r="U22" i="28"/>
  <c r="O22" i="28"/>
  <c r="U21" i="28"/>
  <c r="O21" i="28"/>
  <c r="U20" i="28"/>
  <c r="O20" i="28"/>
  <c r="U19" i="28"/>
  <c r="O19" i="28"/>
  <c r="U18" i="28"/>
  <c r="O18" i="28"/>
  <c r="U17" i="28"/>
  <c r="O17" i="28"/>
  <c r="U16" i="28"/>
  <c r="O16" i="28"/>
  <c r="O15" i="28"/>
  <c r="B8" i="28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AB7" i="28"/>
  <c r="AD7" i="28" s="1"/>
  <c r="AF7" i="28" s="1"/>
  <c r="V7" i="28"/>
  <c r="V8" i="28" s="1"/>
  <c r="P7" i="28"/>
  <c r="P8" i="28" s="1"/>
  <c r="L7" i="28"/>
  <c r="J7" i="28"/>
  <c r="J8" i="28" s="1"/>
  <c r="D7" i="28"/>
  <c r="F7" i="28" s="1"/>
  <c r="G7" i="28" s="1"/>
  <c r="R6" i="28"/>
  <c r="T6" i="28" s="1"/>
  <c r="S6" i="28" s="1"/>
  <c r="L6" i="28"/>
  <c r="F6" i="28"/>
  <c r="G6" i="28" s="1"/>
  <c r="AE3" i="28"/>
  <c r="Y3" i="28"/>
  <c r="S3" i="28"/>
  <c r="M3" i="28"/>
  <c r="G3" i="28"/>
  <c r="Y7" i="28" l="1"/>
  <c r="R7" i="28"/>
  <c r="I34" i="23"/>
  <c r="I35" i="23"/>
  <c r="I36" i="23"/>
  <c r="AE7" i="28"/>
  <c r="AE6" i="28"/>
  <c r="T7" i="28"/>
  <c r="S7" i="28" s="1"/>
  <c r="I7" i="23" s="1"/>
  <c r="N7" i="28"/>
  <c r="M7" i="28" s="1"/>
  <c r="N6" i="28"/>
  <c r="M6" i="28" s="1"/>
  <c r="I6" i="23" s="1"/>
  <c r="L9" i="28"/>
  <c r="M9" i="28" s="1"/>
  <c r="L8" i="28"/>
  <c r="M8" i="28" s="1"/>
  <c r="J9" i="28"/>
  <c r="X9" i="28"/>
  <c r="Y9" i="28" s="1"/>
  <c r="X8" i="28"/>
  <c r="Y8" i="28" s="1"/>
  <c r="V9" i="28"/>
  <c r="R9" i="28"/>
  <c r="S9" i="28" s="1"/>
  <c r="R8" i="28"/>
  <c r="S8" i="28" s="1"/>
  <c r="P9" i="28"/>
  <c r="D8" i="28"/>
  <c r="AB8" i="28"/>
  <c r="F9" i="26"/>
  <c r="C12" i="26"/>
  <c r="X10" i="28" l="1"/>
  <c r="Y10" i="28" s="1"/>
  <c r="V10" i="28"/>
  <c r="AD9" i="28"/>
  <c r="AE9" i="28" s="1"/>
  <c r="AD8" i="28"/>
  <c r="AE8" i="28" s="1"/>
  <c r="AB9" i="28"/>
  <c r="F9" i="28"/>
  <c r="G9" i="28" s="1"/>
  <c r="F8" i="28"/>
  <c r="G8" i="28" s="1"/>
  <c r="D9" i="28"/>
  <c r="I9" i="23" s="1"/>
  <c r="L10" i="28"/>
  <c r="M10" i="28" s="1"/>
  <c r="J10" i="28"/>
  <c r="R10" i="28"/>
  <c r="S10" i="28" s="1"/>
  <c r="P10" i="28"/>
  <c r="J18" i="27"/>
  <c r="K18" i="27" s="1"/>
  <c r="C13" i="26"/>
  <c r="I8" i="23" l="1"/>
  <c r="F10" i="28"/>
  <c r="G10" i="28" s="1"/>
  <c r="D10" i="28"/>
  <c r="L11" i="28"/>
  <c r="M11" i="28" s="1"/>
  <c r="J11" i="28"/>
  <c r="X11" i="28"/>
  <c r="Y11" i="28" s="1"/>
  <c r="V11" i="28"/>
  <c r="AD10" i="28"/>
  <c r="AE10" i="28" s="1"/>
  <c r="AB10" i="28"/>
  <c r="R11" i="28"/>
  <c r="S11" i="28" s="1"/>
  <c r="P11" i="28"/>
  <c r="E15" i="27"/>
  <c r="J15" i="27" s="1"/>
  <c r="E13" i="27"/>
  <c r="J13" i="27" s="1"/>
  <c r="E12" i="27"/>
  <c r="J12" i="27" s="1"/>
  <c r="E11" i="27"/>
  <c r="J11" i="27" s="1"/>
  <c r="E10" i="27"/>
  <c r="J10" i="27" s="1"/>
  <c r="E9" i="27"/>
  <c r="J9" i="27" s="1"/>
  <c r="E8" i="27"/>
  <c r="J8" i="27" s="1"/>
  <c r="E5" i="27"/>
  <c r="J5" i="27" s="1"/>
  <c r="E4" i="27"/>
  <c r="J4" i="27" s="1"/>
  <c r="H15" i="27"/>
  <c r="H13" i="27"/>
  <c r="F12" i="27"/>
  <c r="F11" i="27"/>
  <c r="F10" i="27"/>
  <c r="F9" i="27"/>
  <c r="F8" i="27"/>
  <c r="F4" i="27"/>
  <c r="G4" i="27" s="1"/>
  <c r="H5" i="27"/>
  <c r="C7" i="27"/>
  <c r="C14" i="27" s="1"/>
  <c r="C16" i="27" s="1"/>
  <c r="E16" i="27" s="1"/>
  <c r="C6" i="27"/>
  <c r="E6" i="27" s="1"/>
  <c r="J6" i="27" s="1"/>
  <c r="G11" i="27" l="1"/>
  <c r="I10" i="23"/>
  <c r="L12" i="28"/>
  <c r="M12" i="28" s="1"/>
  <c r="J12" i="28"/>
  <c r="X12" i="28"/>
  <c r="Y12" i="28" s="1"/>
  <c r="V12" i="28"/>
  <c r="R12" i="28"/>
  <c r="S12" i="28" s="1"/>
  <c r="P12" i="28"/>
  <c r="F11" i="28"/>
  <c r="G11" i="28" s="1"/>
  <c r="D11" i="28"/>
  <c r="I11" i="23" s="1"/>
  <c r="AD11" i="28"/>
  <c r="AE11" i="28" s="1"/>
  <c r="AB11" i="28"/>
  <c r="G12" i="27"/>
  <c r="G10" i="27"/>
  <c r="G8" i="27"/>
  <c r="F5" i="27"/>
  <c r="G5" i="27" s="1"/>
  <c r="F13" i="27"/>
  <c r="G13" i="27" s="1"/>
  <c r="E14" i="27"/>
  <c r="E7" i="27"/>
  <c r="J7" i="27" s="1"/>
  <c r="J14" i="27" s="1"/>
  <c r="J16" i="27" s="1"/>
  <c r="F15" i="27"/>
  <c r="G15" i="27" s="1"/>
  <c r="G9" i="27"/>
  <c r="H8" i="27"/>
  <c r="H9" i="27"/>
  <c r="H10" i="27"/>
  <c r="H11" i="27"/>
  <c r="H4" i="27"/>
  <c r="H12" i="27"/>
  <c r="D7" i="27"/>
  <c r="F7" i="27" s="1"/>
  <c r="G7" i="27" s="1"/>
  <c r="D6" i="27"/>
  <c r="F6" i="27" s="1"/>
  <c r="G6" i="27" s="1"/>
  <c r="F12" i="28" l="1"/>
  <c r="G12" i="28" s="1"/>
  <c r="D12" i="28"/>
  <c r="X13" i="28"/>
  <c r="Y13" i="28" s="1"/>
  <c r="V13" i="28"/>
  <c r="AD12" i="28"/>
  <c r="AE12" i="28" s="1"/>
  <c r="AB12" i="28"/>
  <c r="L13" i="28"/>
  <c r="M13" i="28" s="1"/>
  <c r="J13" i="28"/>
  <c r="R13" i="28"/>
  <c r="S13" i="28" s="1"/>
  <c r="P13" i="28"/>
  <c r="D14" i="27"/>
  <c r="F14" i="27" s="1"/>
  <c r="G14" i="27" s="1"/>
  <c r="H7" i="27"/>
  <c r="H6" i="27"/>
  <c r="I12" i="23" l="1"/>
  <c r="F13" i="28"/>
  <c r="G13" i="28" s="1"/>
  <c r="D13" i="28"/>
  <c r="AD13" i="28"/>
  <c r="AE13" i="28" s="1"/>
  <c r="AB13" i="28"/>
  <c r="X14" i="28"/>
  <c r="Y14" i="28" s="1"/>
  <c r="V14" i="28"/>
  <c r="L14" i="28"/>
  <c r="M14" i="28" s="1"/>
  <c r="J14" i="28"/>
  <c r="R14" i="28"/>
  <c r="S14" i="28" s="1"/>
  <c r="P14" i="28"/>
  <c r="D16" i="27"/>
  <c r="F16" i="27" s="1"/>
  <c r="G16" i="27" s="1"/>
  <c r="H14" i="27"/>
  <c r="I13" i="23" l="1"/>
  <c r="R15" i="28"/>
  <c r="S15" i="28" s="1"/>
  <c r="P15" i="28"/>
  <c r="F14" i="28"/>
  <c r="G14" i="28" s="1"/>
  <c r="D14" i="28"/>
  <c r="I14" i="23" s="1"/>
  <c r="L15" i="28"/>
  <c r="M15" i="28" s="1"/>
  <c r="J15" i="28"/>
  <c r="X15" i="28"/>
  <c r="Y15" i="28" s="1"/>
  <c r="V15" i="28"/>
  <c r="AD14" i="28"/>
  <c r="AE14" i="28" s="1"/>
  <c r="AB14" i="28"/>
  <c r="H16" i="27"/>
  <c r="AB15" i="28" l="1"/>
  <c r="AD15" i="28"/>
  <c r="AE15" i="28" s="1"/>
  <c r="X16" i="28"/>
  <c r="Y16" i="28" s="1"/>
  <c r="V16" i="28"/>
  <c r="R16" i="28"/>
  <c r="S16" i="28" s="1"/>
  <c r="P16" i="28"/>
  <c r="F15" i="28"/>
  <c r="G15" i="28" s="1"/>
  <c r="D15" i="28"/>
  <c r="I15" i="23" s="1"/>
  <c r="L16" i="28"/>
  <c r="M16" i="28" s="1"/>
  <c r="J16" i="28"/>
  <c r="S3" i="24"/>
  <c r="J17" i="28" l="1"/>
  <c r="L17" i="28"/>
  <c r="M17" i="28" s="1"/>
  <c r="AD16" i="28"/>
  <c r="AE16" i="28" s="1"/>
  <c r="AB16" i="28"/>
  <c r="F16" i="28"/>
  <c r="G16" i="28" s="1"/>
  <c r="G4" i="28" s="1"/>
  <c r="D16" i="28"/>
  <c r="I16" i="23" s="1"/>
  <c r="R17" i="28"/>
  <c r="S17" i="28" s="1"/>
  <c r="P17" i="28"/>
  <c r="V17" i="28"/>
  <c r="X17" i="28"/>
  <c r="Y17" i="28" s="1"/>
  <c r="Y7" i="24"/>
  <c r="AD11" i="24"/>
  <c r="AE11" i="24" s="1"/>
  <c r="AD6" i="24"/>
  <c r="AE6" i="24" s="1"/>
  <c r="AB7" i="24"/>
  <c r="AB8" i="24" s="1"/>
  <c r="AB9" i="24" s="1"/>
  <c r="AB10" i="24" s="1"/>
  <c r="AB11" i="24" s="1"/>
  <c r="AB12" i="24" s="1"/>
  <c r="AB13" i="24" s="1"/>
  <c r="X16" i="24"/>
  <c r="X14" i="24"/>
  <c r="Y14" i="24" s="1"/>
  <c r="X13" i="24"/>
  <c r="Y13" i="24" s="1"/>
  <c r="X9" i="24"/>
  <c r="Y9" i="24" s="1"/>
  <c r="X8" i="24"/>
  <c r="Y8" i="24" s="1"/>
  <c r="X7" i="24"/>
  <c r="X6" i="24"/>
  <c r="Y6" i="24" s="1"/>
  <c r="V7" i="24"/>
  <c r="V8" i="24" s="1"/>
  <c r="V9" i="24" s="1"/>
  <c r="V10" i="24" s="1"/>
  <c r="V11" i="24" s="1"/>
  <c r="V12" i="24" s="1"/>
  <c r="V13" i="24" s="1"/>
  <c r="V14" i="24" s="1"/>
  <c r="V15" i="24" s="1"/>
  <c r="F14" i="24"/>
  <c r="F13" i="24"/>
  <c r="F11" i="24"/>
  <c r="F10" i="24"/>
  <c r="L14" i="24"/>
  <c r="L13" i="24"/>
  <c r="L11" i="24"/>
  <c r="L10" i="24"/>
  <c r="L6" i="24"/>
  <c r="M6" i="24" s="1"/>
  <c r="J7" i="24"/>
  <c r="J8" i="24" s="1"/>
  <c r="J9" i="24" s="1"/>
  <c r="J10" i="24" s="1"/>
  <c r="J11" i="24" s="1"/>
  <c r="J12" i="24" s="1"/>
  <c r="J13" i="24" s="1"/>
  <c r="J14" i="24" s="1"/>
  <c r="J15" i="24" s="1"/>
  <c r="J16" i="24" s="1"/>
  <c r="L17" i="24" s="1"/>
  <c r="P7" i="24"/>
  <c r="P8" i="24" s="1"/>
  <c r="R9" i="24" s="1"/>
  <c r="S9" i="24" s="1"/>
  <c r="R6" i="24"/>
  <c r="S6" i="24" s="1"/>
  <c r="F6" i="24"/>
  <c r="G6" i="24" s="1"/>
  <c r="D7" i="24"/>
  <c r="D8" i="24" s="1"/>
  <c r="D9" i="24" s="1"/>
  <c r="D10" i="24" s="1"/>
  <c r="D11" i="24" s="1"/>
  <c r="D12" i="24" s="1"/>
  <c r="D13" i="24" s="1"/>
  <c r="D14" i="24" s="1"/>
  <c r="D15" i="24" s="1"/>
  <c r="D16" i="24" s="1"/>
  <c r="AD12" i="24" l="1"/>
  <c r="AE12" i="24" s="1"/>
  <c r="L12" i="24"/>
  <c r="F12" i="24"/>
  <c r="X15" i="24"/>
  <c r="Y15" i="24" s="1"/>
  <c r="AD13" i="24"/>
  <c r="AE13" i="24" s="1"/>
  <c r="L7" i="24"/>
  <c r="M7" i="24" s="1"/>
  <c r="L15" i="24"/>
  <c r="F7" i="24"/>
  <c r="F15" i="24"/>
  <c r="X10" i="24"/>
  <c r="Y10" i="24" s="1"/>
  <c r="AD8" i="24"/>
  <c r="AE8" i="24" s="1"/>
  <c r="L8" i="24"/>
  <c r="L16" i="24"/>
  <c r="F8" i="24"/>
  <c r="G8" i="24" s="1"/>
  <c r="F16" i="24"/>
  <c r="X11" i="24"/>
  <c r="Y11" i="24" s="1"/>
  <c r="AD9" i="24"/>
  <c r="AE9" i="24" s="1"/>
  <c r="AD14" i="24"/>
  <c r="AD7" i="24"/>
  <c r="AE7" i="24" s="1"/>
  <c r="L9" i="24"/>
  <c r="F9" i="24"/>
  <c r="X12" i="24"/>
  <c r="Y12" i="24" s="1"/>
  <c r="AD10" i="24"/>
  <c r="AE10" i="24" s="1"/>
  <c r="X18" i="28"/>
  <c r="Y18" i="28" s="1"/>
  <c r="V18" i="28"/>
  <c r="L18" i="28"/>
  <c r="M18" i="28" s="1"/>
  <c r="J18" i="28"/>
  <c r="R18" i="28"/>
  <c r="S18" i="28" s="1"/>
  <c r="P18" i="28"/>
  <c r="AD17" i="28"/>
  <c r="AE17" i="28" s="1"/>
  <c r="AB17" i="28"/>
  <c r="I17" i="23" s="1"/>
  <c r="G16" i="24"/>
  <c r="M10" i="24"/>
  <c r="M11" i="24"/>
  <c r="M8" i="24"/>
  <c r="M16" i="24"/>
  <c r="M9" i="24"/>
  <c r="M12" i="24"/>
  <c r="M13" i="24"/>
  <c r="M14" i="24"/>
  <c r="M15" i="24"/>
  <c r="R7" i="24"/>
  <c r="S7" i="24" s="1"/>
  <c r="G7" i="24"/>
  <c r="G14" i="24"/>
  <c r="G11" i="24"/>
  <c r="G12" i="24"/>
  <c r="G13" i="24"/>
  <c r="G9" i="24"/>
  <c r="G15" i="24"/>
  <c r="G10" i="24"/>
  <c r="P9" i="24"/>
  <c r="R10" i="24" s="1"/>
  <c r="S10" i="24" s="1"/>
  <c r="R8" i="24"/>
  <c r="S8" i="24" s="1"/>
  <c r="L14" i="26"/>
  <c r="L13" i="26"/>
  <c r="L12" i="26"/>
  <c r="L11" i="26"/>
  <c r="L10" i="26"/>
  <c r="L9" i="26"/>
  <c r="L8" i="26"/>
  <c r="D8" i="26"/>
  <c r="L7" i="26"/>
  <c r="L6" i="26"/>
  <c r="D6" i="26"/>
  <c r="L5" i="26"/>
  <c r="L4" i="26"/>
  <c r="D4" i="26"/>
  <c r="L3" i="26"/>
  <c r="X19" i="28" l="1"/>
  <c r="Y19" i="28" s="1"/>
  <c r="V19" i="28"/>
  <c r="AD18" i="28"/>
  <c r="AE18" i="28" s="1"/>
  <c r="AB18" i="28"/>
  <c r="I18" i="23" s="1"/>
  <c r="R19" i="28"/>
  <c r="S19" i="28" s="1"/>
  <c r="P19" i="28"/>
  <c r="L19" i="28"/>
  <c r="M19" i="28" s="1"/>
  <c r="J19" i="28"/>
  <c r="D5" i="26"/>
  <c r="D9" i="26"/>
  <c r="D3" i="26"/>
  <c r="M21" i="26"/>
  <c r="M15" i="26" s="1"/>
  <c r="M16" i="26" s="1"/>
  <c r="D7" i="26"/>
  <c r="P10" i="24"/>
  <c r="R11" i="24" s="1"/>
  <c r="S11" i="24" s="1"/>
  <c r="C10" i="26"/>
  <c r="X3" i="23"/>
  <c r="X4" i="23" s="1"/>
  <c r="X5" i="23" s="1"/>
  <c r="X6" i="23" s="1"/>
  <c r="X7" i="23" s="1"/>
  <c r="X8" i="23" s="1"/>
  <c r="X9" i="23" s="1"/>
  <c r="X10" i="23" s="1"/>
  <c r="X11" i="23" s="1"/>
  <c r="X12" i="23" s="1"/>
  <c r="X13" i="23" s="1"/>
  <c r="X14" i="23" s="1"/>
  <c r="X15" i="23" s="1"/>
  <c r="X16" i="23" s="1"/>
  <c r="R20" i="28" l="1"/>
  <c r="S20" i="28" s="1"/>
  <c r="P20" i="28"/>
  <c r="L20" i="28"/>
  <c r="M20" i="28" s="1"/>
  <c r="J20" i="28"/>
  <c r="AD19" i="28"/>
  <c r="AE19" i="28" s="1"/>
  <c r="AB19" i="28"/>
  <c r="I19" i="23" s="1"/>
  <c r="X20" i="28"/>
  <c r="Y20" i="28" s="1"/>
  <c r="V20" i="28"/>
  <c r="J19" i="27"/>
  <c r="L18" i="27"/>
  <c r="P11" i="24"/>
  <c r="R12" i="24" s="1"/>
  <c r="S12" i="24" s="1"/>
  <c r="O1" i="25"/>
  <c r="N1" i="25"/>
  <c r="M1" i="25"/>
  <c r="L1" i="25"/>
  <c r="K1" i="25"/>
  <c r="J1" i="25"/>
  <c r="I1" i="25"/>
  <c r="H1" i="25"/>
  <c r="G1" i="25"/>
  <c r="F1" i="25"/>
  <c r="E1" i="25"/>
  <c r="D1" i="25"/>
  <c r="I20" i="23" l="1"/>
  <c r="AD20" i="28"/>
  <c r="AE20" i="28" s="1"/>
  <c r="AB20" i="28"/>
  <c r="X21" i="28"/>
  <c r="Y21" i="28" s="1"/>
  <c r="V21" i="28"/>
  <c r="L21" i="28"/>
  <c r="M21" i="28" s="1"/>
  <c r="J21" i="28"/>
  <c r="P21" i="28"/>
  <c r="R21" i="28"/>
  <c r="S21" i="28" s="1"/>
  <c r="P12" i="24"/>
  <c r="R13" i="24" s="1"/>
  <c r="S13" i="24" s="1"/>
  <c r="O11" i="23"/>
  <c r="O10" i="23"/>
  <c r="O9" i="23"/>
  <c r="O7" i="23"/>
  <c r="O8" i="23"/>
  <c r="E7" i="23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E34" i="23" s="1"/>
  <c r="E35" i="23" s="1"/>
  <c r="E36" i="23" s="1"/>
  <c r="AE3" i="24"/>
  <c r="Y3" i="24"/>
  <c r="M3" i="24"/>
  <c r="G3" i="24"/>
  <c r="AA33" i="24"/>
  <c r="AA32" i="24"/>
  <c r="AA31" i="24"/>
  <c r="AA30" i="24"/>
  <c r="AA29" i="24"/>
  <c r="U29" i="24"/>
  <c r="AA28" i="24"/>
  <c r="U28" i="24"/>
  <c r="AA27" i="24"/>
  <c r="U27" i="24"/>
  <c r="AA26" i="24"/>
  <c r="U26" i="24"/>
  <c r="AA25" i="24"/>
  <c r="U25" i="24"/>
  <c r="O25" i="24"/>
  <c r="AA24" i="24"/>
  <c r="U24" i="24"/>
  <c r="O24" i="24"/>
  <c r="AA23" i="24"/>
  <c r="U23" i="24"/>
  <c r="O23" i="24"/>
  <c r="AA22" i="24"/>
  <c r="U22" i="24"/>
  <c r="O22" i="24"/>
  <c r="AA21" i="24"/>
  <c r="U21" i="24"/>
  <c r="O21" i="24"/>
  <c r="AA20" i="24"/>
  <c r="U20" i="24"/>
  <c r="O20" i="24"/>
  <c r="AA19" i="24"/>
  <c r="U19" i="24"/>
  <c r="O19" i="24"/>
  <c r="AA18" i="24"/>
  <c r="U18" i="24"/>
  <c r="O18" i="24"/>
  <c r="AA17" i="24"/>
  <c r="U17" i="24"/>
  <c r="O17" i="24"/>
  <c r="I17" i="24"/>
  <c r="AA16" i="24"/>
  <c r="U16" i="24"/>
  <c r="O16" i="24"/>
  <c r="AA15" i="24"/>
  <c r="O15" i="24"/>
  <c r="AA14" i="24"/>
  <c r="B8" i="24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AL1" i="19"/>
  <c r="AI1" i="19"/>
  <c r="AF1" i="19"/>
  <c r="AC1" i="19"/>
  <c r="Z1" i="19"/>
  <c r="W1" i="19"/>
  <c r="T1" i="19"/>
  <c r="Q1" i="19"/>
  <c r="N1" i="19"/>
  <c r="K1" i="19"/>
  <c r="H1" i="19"/>
  <c r="E1" i="19"/>
  <c r="AL61" i="19"/>
  <c r="AL60" i="19"/>
  <c r="AL59" i="19"/>
  <c r="AL58" i="19"/>
  <c r="AL57" i="19"/>
  <c r="AL56" i="19"/>
  <c r="AL55" i="19"/>
  <c r="AL54" i="19"/>
  <c r="AL53" i="19"/>
  <c r="AL52" i="19"/>
  <c r="AL51" i="19"/>
  <c r="AL50" i="19"/>
  <c r="AL49" i="19"/>
  <c r="AL48" i="19"/>
  <c r="AL47" i="19"/>
  <c r="AL46" i="19"/>
  <c r="AL45" i="19"/>
  <c r="AL44" i="19"/>
  <c r="AL43" i="19"/>
  <c r="AL42" i="19"/>
  <c r="AL41" i="19"/>
  <c r="AL40" i="19"/>
  <c r="AL39" i="19"/>
  <c r="AL38" i="19"/>
  <c r="AL37" i="19"/>
  <c r="AL36" i="19"/>
  <c r="AL35" i="19"/>
  <c r="AL34" i="19"/>
  <c r="AL33" i="19"/>
  <c r="AL32" i="19"/>
  <c r="AL31" i="19"/>
  <c r="AL30" i="19"/>
  <c r="AL29" i="19"/>
  <c r="AL28" i="19"/>
  <c r="AL27" i="19"/>
  <c r="AL26" i="19"/>
  <c r="AL25" i="19"/>
  <c r="AL24" i="19"/>
  <c r="AL23" i="19"/>
  <c r="AL22" i="19"/>
  <c r="AL21" i="19"/>
  <c r="AL20" i="19"/>
  <c r="AL19" i="19"/>
  <c r="AL18" i="19"/>
  <c r="AL17" i="19"/>
  <c r="AL16" i="19"/>
  <c r="AL15" i="19"/>
  <c r="AL14" i="19"/>
  <c r="AL13" i="19"/>
  <c r="AL12" i="19"/>
  <c r="AL11" i="19"/>
  <c r="AL10" i="19"/>
  <c r="AL9" i="19"/>
  <c r="AL8" i="19"/>
  <c r="AL7" i="19"/>
  <c r="AL6" i="19"/>
  <c r="AL5" i="19"/>
  <c r="AL4" i="19"/>
  <c r="AI12" i="19"/>
  <c r="AI11" i="19"/>
  <c r="AI10" i="19"/>
  <c r="AI9" i="19"/>
  <c r="AI8" i="19"/>
  <c r="AI7" i="19"/>
  <c r="AI6" i="19"/>
  <c r="AI5" i="19"/>
  <c r="AI4" i="19"/>
  <c r="AF32" i="19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10" i="19"/>
  <c r="AF9" i="19"/>
  <c r="AF8" i="19"/>
  <c r="AF7" i="19"/>
  <c r="AF6" i="19"/>
  <c r="AF5" i="19"/>
  <c r="AF4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C11" i="19"/>
  <c r="AC10" i="19"/>
  <c r="AC9" i="19"/>
  <c r="AC8" i="19"/>
  <c r="AC7" i="19"/>
  <c r="AC6" i="19"/>
  <c r="AC5" i="19"/>
  <c r="AC4" i="19"/>
  <c r="Z10" i="19"/>
  <c r="Z9" i="19"/>
  <c r="Z8" i="19"/>
  <c r="Z7" i="19"/>
  <c r="Z6" i="19"/>
  <c r="Z5" i="19"/>
  <c r="Z4" i="19"/>
  <c r="W12" i="19"/>
  <c r="W11" i="19"/>
  <c r="W10" i="19"/>
  <c r="W9" i="19"/>
  <c r="W8" i="19"/>
  <c r="W7" i="19"/>
  <c r="W6" i="19"/>
  <c r="W5" i="19"/>
  <c r="W4" i="19"/>
  <c r="T11" i="19"/>
  <c r="T10" i="19"/>
  <c r="T9" i="19"/>
  <c r="T8" i="19"/>
  <c r="T7" i="19"/>
  <c r="T6" i="19"/>
  <c r="T5" i="19"/>
  <c r="T4" i="19"/>
  <c r="Q5" i="19"/>
  <c r="Q4" i="19"/>
  <c r="N7" i="19"/>
  <c r="N6" i="19"/>
  <c r="N5" i="19"/>
  <c r="N4" i="19"/>
  <c r="K6" i="19"/>
  <c r="K5" i="19"/>
  <c r="K4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4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Q3" i="14" s="1"/>
  <c r="B4" i="12"/>
  <c r="A5" i="12"/>
  <c r="B5" i="12" s="1"/>
  <c r="F5" i="12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L27" i="12"/>
  <c r="O27" i="12"/>
  <c r="L28" i="12"/>
  <c r="O28" i="12"/>
  <c r="L29" i="12"/>
  <c r="O29" i="12"/>
  <c r="L30" i="12"/>
  <c r="O30" i="12"/>
  <c r="L31" i="12"/>
  <c r="O31" i="12"/>
  <c r="J32" i="12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L32" i="12"/>
  <c r="O32" i="12"/>
  <c r="L33" i="12"/>
  <c r="O33" i="12"/>
  <c r="L34" i="12"/>
  <c r="O34" i="12"/>
  <c r="L35" i="12"/>
  <c r="O35" i="12"/>
  <c r="L36" i="12"/>
  <c r="O36" i="12"/>
  <c r="L37" i="12"/>
  <c r="O37" i="12"/>
  <c r="L38" i="12"/>
  <c r="O38" i="12"/>
  <c r="L39" i="12"/>
  <c r="O39" i="12"/>
  <c r="L40" i="12"/>
  <c r="O40" i="12"/>
  <c r="L41" i="12"/>
  <c r="O41" i="12"/>
  <c r="L42" i="12"/>
  <c r="O42" i="12"/>
  <c r="F6" i="23" l="1"/>
  <c r="AB14" i="24"/>
  <c r="AE14" i="24"/>
  <c r="V16" i="24"/>
  <c r="Y16" i="24"/>
  <c r="L22" i="28"/>
  <c r="M22" i="28" s="1"/>
  <c r="M4" i="28" s="1"/>
  <c r="J22" i="28"/>
  <c r="X22" i="28"/>
  <c r="Y22" i="28" s="1"/>
  <c r="V22" i="28"/>
  <c r="R22" i="28"/>
  <c r="S22" i="28" s="1"/>
  <c r="P22" i="28"/>
  <c r="AB21" i="28"/>
  <c r="I21" i="23" s="1"/>
  <c r="AD21" i="28"/>
  <c r="AE21" i="28" s="1"/>
  <c r="I18" i="24"/>
  <c r="J17" i="24"/>
  <c r="L18" i="24" s="1"/>
  <c r="P13" i="24"/>
  <c r="R14" i="24" s="1"/>
  <c r="S14" i="24" s="1"/>
  <c r="A6" i="12"/>
  <c r="F36" i="23"/>
  <c r="F35" i="23"/>
  <c r="F34" i="23"/>
  <c r="F7" i="23"/>
  <c r="F11" i="23"/>
  <c r="F8" i="23"/>
  <c r="F9" i="23"/>
  <c r="F10" i="23"/>
  <c r="G4" i="24"/>
  <c r="I19" i="24"/>
  <c r="C36" i="23"/>
  <c r="C12" i="23"/>
  <c r="C29" i="23"/>
  <c r="C14" i="23"/>
  <c r="C22" i="23"/>
  <c r="C30" i="23"/>
  <c r="C13" i="23"/>
  <c r="C7" i="23"/>
  <c r="C15" i="23"/>
  <c r="C23" i="23"/>
  <c r="C31" i="23"/>
  <c r="C21" i="23"/>
  <c r="C6" i="23"/>
  <c r="C8" i="23"/>
  <c r="C16" i="23"/>
  <c r="C24" i="23"/>
  <c r="C32" i="23"/>
  <c r="C9" i="23"/>
  <c r="C17" i="23"/>
  <c r="C25" i="23"/>
  <c r="C33" i="23"/>
  <c r="C10" i="23"/>
  <c r="C18" i="23"/>
  <c r="C26" i="23"/>
  <c r="C34" i="23"/>
  <c r="C11" i="23"/>
  <c r="C19" i="23"/>
  <c r="C27" i="23"/>
  <c r="C35" i="23"/>
  <c r="C20" i="23"/>
  <c r="C28" i="23"/>
  <c r="AB15" i="24" l="1"/>
  <c r="AD15" i="24"/>
  <c r="AE15" i="24" s="1"/>
  <c r="V17" i="24"/>
  <c r="X17" i="24"/>
  <c r="Y17" i="24" s="1"/>
  <c r="R23" i="28"/>
  <c r="S23" i="28" s="1"/>
  <c r="P23" i="28"/>
  <c r="X23" i="28"/>
  <c r="Y23" i="28" s="1"/>
  <c r="V23" i="28"/>
  <c r="AD22" i="28"/>
  <c r="AE22" i="28" s="1"/>
  <c r="AB22" i="28"/>
  <c r="I22" i="23" s="1"/>
  <c r="J18" i="24"/>
  <c r="L19" i="24" s="1"/>
  <c r="M17" i="24"/>
  <c r="F12" i="23"/>
  <c r="P14" i="24"/>
  <c r="R15" i="24" s="1"/>
  <c r="S15" i="24" s="1"/>
  <c r="A7" i="12"/>
  <c r="B6" i="12"/>
  <c r="O2" i="23"/>
  <c r="I20" i="24"/>
  <c r="V18" i="24" l="1"/>
  <c r="X18" i="24"/>
  <c r="Y18" i="24" s="1"/>
  <c r="AB16" i="24"/>
  <c r="AD16" i="24"/>
  <c r="AE16" i="24" s="1"/>
  <c r="AD23" i="28"/>
  <c r="AE23" i="28" s="1"/>
  <c r="AB23" i="28"/>
  <c r="I23" i="23" s="1"/>
  <c r="X24" i="28"/>
  <c r="Y24" i="28" s="1"/>
  <c r="V24" i="28"/>
  <c r="R24" i="28"/>
  <c r="S24" i="28" s="1"/>
  <c r="P24" i="28"/>
  <c r="J19" i="24"/>
  <c r="L20" i="24" s="1"/>
  <c r="M18" i="24"/>
  <c r="P15" i="24"/>
  <c r="R16" i="24" s="1"/>
  <c r="S16" i="24" s="1"/>
  <c r="F13" i="23"/>
  <c r="B7" i="12"/>
  <c r="A8" i="12"/>
  <c r="I21" i="24"/>
  <c r="V19" i="24" l="1"/>
  <c r="X19" i="24"/>
  <c r="Y19" i="24" s="1"/>
  <c r="AB17" i="24"/>
  <c r="AD17" i="24"/>
  <c r="AE17" i="24" s="1"/>
  <c r="P25" i="28"/>
  <c r="R25" i="28"/>
  <c r="S25" i="28" s="1"/>
  <c r="S4" i="28" s="1"/>
  <c r="X25" i="28"/>
  <c r="Y25" i="28" s="1"/>
  <c r="V25" i="28"/>
  <c r="AD24" i="28"/>
  <c r="AE24" i="28" s="1"/>
  <c r="AB24" i="28"/>
  <c r="I24" i="23" s="1"/>
  <c r="J20" i="24"/>
  <c r="L21" i="24" s="1"/>
  <c r="M19" i="24"/>
  <c r="F14" i="23"/>
  <c r="P16" i="24"/>
  <c r="R17" i="24" s="1"/>
  <c r="S17" i="24" s="1"/>
  <c r="F15" i="23"/>
  <c r="B8" i="12"/>
  <c r="A9" i="12"/>
  <c r="I22" i="24"/>
  <c r="AB18" i="24" l="1"/>
  <c r="AD18" i="24"/>
  <c r="AE18" i="24" s="1"/>
  <c r="V20" i="24"/>
  <c r="X20" i="24"/>
  <c r="Y20" i="24" s="1"/>
  <c r="AB25" i="28"/>
  <c r="I25" i="23" s="1"/>
  <c r="AD25" i="28"/>
  <c r="AE25" i="28" s="1"/>
  <c r="X26" i="28"/>
  <c r="Y26" i="28" s="1"/>
  <c r="V26" i="28"/>
  <c r="J21" i="24"/>
  <c r="L22" i="24" s="1"/>
  <c r="M20" i="24"/>
  <c r="P17" i="24"/>
  <c r="R18" i="24" s="1"/>
  <c r="S18" i="24" s="1"/>
  <c r="F17" i="23"/>
  <c r="F16" i="23"/>
  <c r="A10" i="12"/>
  <c r="B9" i="12"/>
  <c r="V21" i="24" l="1"/>
  <c r="X21" i="24"/>
  <c r="Y21" i="24" s="1"/>
  <c r="AB19" i="24"/>
  <c r="AD19" i="24"/>
  <c r="AE19" i="24" s="1"/>
  <c r="X27" i="28"/>
  <c r="Y27" i="28" s="1"/>
  <c r="V27" i="28"/>
  <c r="AD26" i="28"/>
  <c r="AE26" i="28" s="1"/>
  <c r="AB26" i="28"/>
  <c r="J22" i="24"/>
  <c r="M22" i="24" s="1"/>
  <c r="M21" i="24"/>
  <c r="P18" i="24"/>
  <c r="R19" i="24" s="1"/>
  <c r="S19" i="24" s="1"/>
  <c r="F18" i="23"/>
  <c r="B10" i="12"/>
  <c r="A11" i="12"/>
  <c r="AB20" i="24" l="1"/>
  <c r="AD20" i="24"/>
  <c r="AE20" i="24" s="1"/>
  <c r="I26" i="23"/>
  <c r="V22" i="24"/>
  <c r="X22" i="24"/>
  <c r="Y22" i="24" s="1"/>
  <c r="AD27" i="28"/>
  <c r="AE27" i="28" s="1"/>
  <c r="AB27" i="28"/>
  <c r="I27" i="23" s="1"/>
  <c r="X28" i="28"/>
  <c r="Y28" i="28" s="1"/>
  <c r="V28" i="28"/>
  <c r="M4" i="24"/>
  <c r="P19" i="24"/>
  <c r="R20" i="24" s="1"/>
  <c r="S20" i="24" s="1"/>
  <c r="F19" i="23"/>
  <c r="A12" i="12"/>
  <c r="B11" i="12"/>
  <c r="V23" i="24" l="1"/>
  <c r="X23" i="24"/>
  <c r="Y23" i="24" s="1"/>
  <c r="AB21" i="24"/>
  <c r="AD21" i="24"/>
  <c r="AE21" i="24" s="1"/>
  <c r="AD28" i="28"/>
  <c r="AE28" i="28" s="1"/>
  <c r="AB28" i="28"/>
  <c r="I28" i="23" s="1"/>
  <c r="V29" i="28"/>
  <c r="X29" i="28"/>
  <c r="Y29" i="28" s="1"/>
  <c r="Y4" i="28" s="1"/>
  <c r="P20" i="24"/>
  <c r="R21" i="24" s="1"/>
  <c r="S21" i="24" s="1"/>
  <c r="B12" i="12"/>
  <c r="A13" i="12"/>
  <c r="AB22" i="24" l="1"/>
  <c r="AD22" i="24"/>
  <c r="AE22" i="24" s="1"/>
  <c r="V24" i="24"/>
  <c r="X24" i="24"/>
  <c r="Y24" i="24" s="1"/>
  <c r="AD29" i="28"/>
  <c r="AE29" i="28" s="1"/>
  <c r="AB29" i="28"/>
  <c r="I29" i="23" s="1"/>
  <c r="F20" i="23"/>
  <c r="P21" i="24"/>
  <c r="R22" i="24" s="1"/>
  <c r="S22" i="24" s="1"/>
  <c r="F21" i="23"/>
  <c r="B13" i="12"/>
  <c r="A14" i="12"/>
  <c r="V25" i="24" l="1"/>
  <c r="X25" i="24"/>
  <c r="Y25" i="24" s="1"/>
  <c r="AB23" i="24"/>
  <c r="AD23" i="24"/>
  <c r="AE23" i="24" s="1"/>
  <c r="AD30" i="28"/>
  <c r="AE30" i="28" s="1"/>
  <c r="AB30" i="28"/>
  <c r="I30" i="23" s="1"/>
  <c r="P22" i="24"/>
  <c r="R23" i="24" s="1"/>
  <c r="S23" i="24" s="1"/>
  <c r="F22" i="23"/>
  <c r="B14" i="12"/>
  <c r="A15" i="12"/>
  <c r="AB24" i="24" l="1"/>
  <c r="AD24" i="24"/>
  <c r="AE24" i="24" s="1"/>
  <c r="V26" i="24"/>
  <c r="X26" i="24"/>
  <c r="Y26" i="24" s="1"/>
  <c r="AD31" i="28"/>
  <c r="AE31" i="28" s="1"/>
  <c r="AB31" i="28"/>
  <c r="I31" i="23" s="1"/>
  <c r="P23" i="24"/>
  <c r="R24" i="24" s="1"/>
  <c r="S24" i="24" s="1"/>
  <c r="F23" i="23"/>
  <c r="B15" i="12"/>
  <c r="A16" i="12"/>
  <c r="P24" i="24" l="1"/>
  <c r="R25" i="24" s="1"/>
  <c r="S25" i="24" s="1"/>
  <c r="S4" i="24" s="1"/>
  <c r="V27" i="24"/>
  <c r="X27" i="24"/>
  <c r="Y27" i="24" s="1"/>
  <c r="AB25" i="24"/>
  <c r="AD25" i="24"/>
  <c r="AE25" i="24" s="1"/>
  <c r="AD32" i="28"/>
  <c r="AE32" i="28" s="1"/>
  <c r="AB32" i="28"/>
  <c r="I32" i="23" s="1"/>
  <c r="P25" i="24"/>
  <c r="F24" i="23"/>
  <c r="A17" i="12"/>
  <c r="B16" i="12"/>
  <c r="AB26" i="24" l="1"/>
  <c r="AD26" i="24"/>
  <c r="AE26" i="24" s="1"/>
  <c r="V28" i="24"/>
  <c r="X28" i="24"/>
  <c r="Y28" i="24" s="1"/>
  <c r="AB33" i="28"/>
  <c r="I33" i="23" s="1"/>
  <c r="O4" i="23" s="1"/>
  <c r="AD33" i="28"/>
  <c r="AE33" i="28" s="1"/>
  <c r="AE4" i="28" s="1"/>
  <c r="F25" i="23"/>
  <c r="B17" i="12"/>
  <c r="A18" i="12"/>
  <c r="T6" i="23" l="1"/>
  <c r="T8" i="23"/>
  <c r="T7" i="23"/>
  <c r="T9" i="23"/>
  <c r="T10" i="23"/>
  <c r="T11" i="23"/>
  <c r="S3" i="23"/>
  <c r="V29" i="24"/>
  <c r="X29" i="24"/>
  <c r="Y29" i="24" s="1"/>
  <c r="Y4" i="24" s="1"/>
  <c r="AB27" i="24"/>
  <c r="AD27" i="24"/>
  <c r="AE27" i="24" s="1"/>
  <c r="F26" i="23"/>
  <c r="B18" i="12"/>
  <c r="A19" i="12"/>
  <c r="AB28" i="24" l="1"/>
  <c r="AD28" i="24"/>
  <c r="AE28" i="24" s="1"/>
  <c r="F27" i="23"/>
  <c r="A20" i="12"/>
  <c r="B19" i="12"/>
  <c r="AB29" i="24" l="1"/>
  <c r="AD29" i="24"/>
  <c r="AE29" i="24" s="1"/>
  <c r="F28" i="23"/>
  <c r="B20" i="12"/>
  <c r="A21" i="12"/>
  <c r="AB30" i="24" l="1"/>
  <c r="AD30" i="24"/>
  <c r="AE30" i="24" s="1"/>
  <c r="F29" i="23"/>
  <c r="B21" i="12"/>
  <c r="A22" i="12"/>
  <c r="AB31" i="24" l="1"/>
  <c r="AD31" i="24"/>
  <c r="AE31" i="24" s="1"/>
  <c r="F30" i="23"/>
  <c r="B22" i="12"/>
  <c r="A23" i="12"/>
  <c r="AB32" i="24" l="1"/>
  <c r="AD32" i="24"/>
  <c r="AE32" i="24" s="1"/>
  <c r="F31" i="23"/>
  <c r="A24" i="12"/>
  <c r="B23" i="12"/>
  <c r="G4" i="12" s="1"/>
  <c r="AB33" i="24" l="1"/>
  <c r="F33" i="23" s="1"/>
  <c r="AD33" i="24"/>
  <c r="AE33" i="24" s="1"/>
  <c r="AE4" i="24" s="1"/>
  <c r="F32" i="23"/>
  <c r="B24" i="12"/>
  <c r="G5" i="12" s="1"/>
  <c r="H5" i="12" s="1"/>
  <c r="A25" i="12"/>
  <c r="O3" i="23" l="1"/>
  <c r="P4" i="23" s="1"/>
  <c r="B25" i="12"/>
  <c r="G6" i="12" s="1"/>
  <c r="H6" i="12" s="1"/>
  <c r="A26" i="12"/>
  <c r="S2" i="23" l="1"/>
  <c r="Y1" i="23" s="1"/>
  <c r="S9" i="23"/>
  <c r="S10" i="23"/>
  <c r="S7" i="23"/>
  <c r="S11" i="23"/>
  <c r="S8" i="23"/>
  <c r="S6" i="23"/>
  <c r="B26" i="12"/>
  <c r="G7" i="12" s="1"/>
  <c r="A27" i="12"/>
  <c r="A28" i="12" l="1"/>
  <c r="B28" i="12" s="1"/>
  <c r="B27" i="12"/>
  <c r="H7" i="12"/>
  <c r="H8" i="12"/>
  <c r="L16" i="26" l="1"/>
</calcChain>
</file>

<file path=xl/sharedStrings.xml><?xml version="1.0" encoding="utf-8"?>
<sst xmlns="http://schemas.openxmlformats.org/spreadsheetml/2006/main" count="649" uniqueCount="293">
  <si>
    <t>Capital</t>
  </si>
  <si>
    <t>Total</t>
  </si>
  <si>
    <t>A2E3</t>
  </si>
  <si>
    <t>https://www.bolsar.com/Vistas/Investigaciones/FichaTecnicaEspecie.aspx?Id=712881&amp;UrlVolver=https://www.bolsar.com/VistasDL/PaginaIntradiarioEspecies.aspx?Especie=A2E3D</t>
  </si>
  <si>
    <t>https://www.bolsar.com/Vistas/Investigaciones/FichaTecnicaEspecie.aspx?Id=630847&amp;UrlVolver=https://www.bolsar.com/Vistas/Investigaciones/FichaTecnicaEspecie.aspx?Id=712881&amp;UrlVolver=https://www.bolsar.com/VistasDL/PaginaIntradiarioEspecies.aspx?Especie=A2E3D</t>
  </si>
  <si>
    <t>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</t>
  </si>
  <si>
    <t>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</t>
  </si>
  <si>
    <t>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</t>
  </si>
  <si>
    <t>https://www.bolsar.com/Vistas/Investigaciones/FichaTecnicaEspecie.aspx?Id=630849&amp;UrlVolver=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</t>
  </si>
  <si>
    <t>https://www.bolsar.com/Vistas/Investigaciones/FichaTecnicaEspecie.aspx?Id=630861&amp;UrlVolver=https://www.bolsar.com/Vistas/Investigaciones/FichaTecnicaEspecie.aspx?Id=630849&amp;UrlVolver=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</t>
  </si>
  <si>
    <t>Rdo Financiero</t>
  </si>
  <si>
    <t>Rdo Fiscal Prim</t>
  </si>
  <si>
    <t>Año</t>
  </si>
  <si>
    <t>Rdo Fiscal (Mill AR$)</t>
  </si>
  <si>
    <t>Delta</t>
  </si>
  <si>
    <t>PBI USD</t>
  </si>
  <si>
    <t>Superavit/Deficit Total</t>
  </si>
  <si>
    <t>Superavit/Deficit Fiscal Primario</t>
  </si>
  <si>
    <t>Evolución PBI Pre Crisis 2001 (y Reestructuración 2005)</t>
  </si>
  <si>
    <r>
      <t>Fuente:</t>
    </r>
    <r>
      <rPr>
        <sz val="9"/>
        <rFont val="Arial"/>
        <family val="2"/>
      </rPr>
      <t xml:space="preserve"> INDEC.</t>
    </r>
  </si>
  <si>
    <t>( c ) Incluye: impuesto al valor agregado ( IVA ), impuesto a las importaciones, impuesto a los ingresos brutos e impuestos específicos</t>
  </si>
  <si>
    <t>( b ) Para el período 1980-1992, no hay suficiente información que permita presentar los valores desagregados de la columna de "Impuestos sobre los productos".</t>
  </si>
  <si>
    <t>( a )  Los SIFMI se deducen del total de valor agregado bruto porque la falta de información no permite deducirlos sectorialmente</t>
  </si>
  <si>
    <t>IV</t>
  </si>
  <si>
    <t>III</t>
  </si>
  <si>
    <t>II</t>
  </si>
  <si>
    <t>I</t>
  </si>
  <si>
    <t>(9)=(4)+(8)</t>
  </si>
  <si>
    <t>(8)=(5)+(6)+(7)</t>
  </si>
  <si>
    <t>(7)</t>
  </si>
  <si>
    <t>(6)</t>
  </si>
  <si>
    <t>(5)</t>
  </si>
  <si>
    <t>(4)=(1)+(2)-(3)</t>
  </si>
  <si>
    <t>(2)</t>
  </si>
  <si>
    <t>(1)</t>
  </si>
  <si>
    <t>mercado</t>
  </si>
  <si>
    <t>( c )</t>
  </si>
  <si>
    <t>básicos</t>
  </si>
  <si>
    <t>SIFMI ( a )</t>
  </si>
  <si>
    <t>DE SERVICIOS</t>
  </si>
  <si>
    <t>servicio doméstico</t>
  </si>
  <si>
    <t>de salud</t>
  </si>
  <si>
    <t>afiliación obligatoria</t>
  </si>
  <si>
    <t>de alquiler</t>
  </si>
  <si>
    <t>domésticos</t>
  </si>
  <si>
    <t>DE BIENES</t>
  </si>
  <si>
    <t>agua</t>
  </si>
  <si>
    <t>manufactureras</t>
  </si>
  <si>
    <t>minas y canteras</t>
  </si>
  <si>
    <t>silvicultura y pesca</t>
  </si>
  <si>
    <t>a precios de</t>
  </si>
  <si>
    <t>productos</t>
  </si>
  <si>
    <t>importaciones ( b )</t>
  </si>
  <si>
    <t>agregado ( b )</t>
  </si>
  <si>
    <t xml:space="preserve">a precios </t>
  </si>
  <si>
    <t>Indirectamente</t>
  </si>
  <si>
    <t>PRODUCTORES</t>
  </si>
  <si>
    <t>Hogares privados con</t>
  </si>
  <si>
    <t>sociales y</t>
  </si>
  <si>
    <t xml:space="preserve">Planes de S.S. de </t>
  </si>
  <si>
    <t>empresariales y</t>
  </si>
  <si>
    <t>financiera</t>
  </si>
  <si>
    <t>comunicaciones</t>
  </si>
  <si>
    <t>restaurantes</t>
  </si>
  <si>
    <t>personales y enseres</t>
  </si>
  <si>
    <t xml:space="preserve">PRODUCTORES </t>
  </si>
  <si>
    <t>Construcción</t>
  </si>
  <si>
    <t>electricidad, gas y</t>
  </si>
  <si>
    <t>Industrias</t>
  </si>
  <si>
    <t>Explotación de</t>
  </si>
  <si>
    <t>ganadería, caza,</t>
  </si>
  <si>
    <t>BRUTO</t>
  </si>
  <si>
    <t>sobre los</t>
  </si>
  <si>
    <t>Resto ( b )</t>
  </si>
  <si>
    <t>a las</t>
  </si>
  <si>
    <t>al valor</t>
  </si>
  <si>
    <t>Financiera Medidos</t>
  </si>
  <si>
    <t>SECTORES</t>
  </si>
  <si>
    <t>personales y</t>
  </si>
  <si>
    <t>Servicios</t>
  </si>
  <si>
    <t>pública y  defensa</t>
  </si>
  <si>
    <t>inmobiliarias,</t>
  </si>
  <si>
    <t>Intermediación</t>
  </si>
  <si>
    <t>almacenamiento y</t>
  </si>
  <si>
    <t>Hoteles y</t>
  </si>
  <si>
    <t>motocicletas, efectos</t>
  </si>
  <si>
    <t>Suministro de</t>
  </si>
  <si>
    <t>Agricultura,</t>
  </si>
  <si>
    <t>Período</t>
  </si>
  <si>
    <t>INTERNO</t>
  </si>
  <si>
    <t>impuestos</t>
  </si>
  <si>
    <t xml:space="preserve">impuesto </t>
  </si>
  <si>
    <t>AGREGADO</t>
  </si>
  <si>
    <t>sociales,</t>
  </si>
  <si>
    <t>Enseñanza,</t>
  </si>
  <si>
    <t xml:space="preserve">Administración </t>
  </si>
  <si>
    <t>Actividades</t>
  </si>
  <si>
    <t>Transporte,</t>
  </si>
  <si>
    <t>de vehículos automotores,</t>
  </si>
  <si>
    <t>PRODUCTO</t>
  </si>
  <si>
    <t>VALOR</t>
  </si>
  <si>
    <t>Servicios de</t>
  </si>
  <si>
    <t>comunitarias</t>
  </si>
  <si>
    <t>y al por menor; reparación</t>
  </si>
  <si>
    <t>de servicios</t>
  </si>
  <si>
    <t>Comercio al por mayor</t>
  </si>
  <si>
    <t>Otras actividades</t>
  </si>
  <si>
    <t>Valores Agregados Brutos Sectoriales a precios básicos</t>
  </si>
  <si>
    <t>Millones de pesos, a precios de 1993</t>
  </si>
  <si>
    <t>SERIE EMPALMADA 1980 - 2005</t>
  </si>
  <si>
    <t>PRODUCTO INTERNO BRUTO a precios de mercado</t>
  </si>
  <si>
    <r>
      <t>Fuente:</t>
    </r>
    <r>
      <rPr>
        <sz val="8"/>
        <color indexed="8"/>
        <rFont val="Arial"/>
        <family val="2"/>
      </rPr>
      <t xml:space="preserve"> INDEC. </t>
    </r>
  </si>
  <si>
    <r>
      <t xml:space="preserve">Nota: </t>
    </r>
    <r>
      <rPr>
        <sz val="8"/>
        <color indexed="8"/>
        <rFont val="Arial"/>
        <family val="2"/>
      </rPr>
      <t>Serie 2004-2016. Datos definitivos.</t>
    </r>
  </si>
  <si>
    <r>
      <t>(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 Datos preliminares.</t>
    </r>
  </si>
  <si>
    <r>
      <t>(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) Datos provisorios.</t>
    </r>
  </si>
  <si>
    <t>Hogares privados con servicio doméstico</t>
  </si>
  <si>
    <t>Servicios culturales y deportivos. Otras actividades</t>
  </si>
  <si>
    <t>Asociaciones</t>
  </si>
  <si>
    <t>Eliminación de desperdicios y aguas residuales, saneamiento y servicios similares</t>
  </si>
  <si>
    <t>Otras actividades de servicios comunitarias, sociales y personales</t>
  </si>
  <si>
    <t>Salud Privada</t>
  </si>
  <si>
    <t>Salud Pública</t>
  </si>
  <si>
    <t>Servicios sociales y de salud</t>
  </si>
  <si>
    <t>Enseñanza Privada</t>
  </si>
  <si>
    <t>Enseñanza Pública</t>
  </si>
  <si>
    <t>Enseñanza</t>
  </si>
  <si>
    <t>Administración pública y defensa; planes de seguridad social de afiliación obligatoria</t>
  </si>
  <si>
    <t>Resto</t>
  </si>
  <si>
    <t>Servicios inmobiliarios con bienes propios y arrendados</t>
  </si>
  <si>
    <t>Actividades inmobiliarias, empresariales y de alquiler</t>
  </si>
  <si>
    <t>Servicios auxiliares a la actividad financiera</t>
  </si>
  <si>
    <t>Servicios de seguros</t>
  </si>
  <si>
    <t>Intermediación financiera y otros servicios financieros</t>
  </si>
  <si>
    <t>Intermediación financiera</t>
  </si>
  <si>
    <t>Comunicaciones</t>
  </si>
  <si>
    <t>Transporte</t>
  </si>
  <si>
    <t>Transporte y comunicaciones</t>
  </si>
  <si>
    <t>Restaurantes, bares y cantinas</t>
  </si>
  <si>
    <t>Hoteles; campamentos y otros tipos de hospedaje temporal</t>
  </si>
  <si>
    <t>Hoteles y restaurantes</t>
  </si>
  <si>
    <t>Comercio mayorista, minorista y reparaciones</t>
  </si>
  <si>
    <t>Captación, depuración y distribución de agua</t>
  </si>
  <si>
    <t>Fabricación de gas; distribución de combustibles gaseosos por tuberías</t>
  </si>
  <si>
    <t>Generación captación y distribución de energía eléctrica</t>
  </si>
  <si>
    <t>Electricidad, gas y agua</t>
  </si>
  <si>
    <t>Reparación, mantenimiento e instalación de maquinas y equipos</t>
  </si>
  <si>
    <t>Reciclamiento</t>
  </si>
  <si>
    <t>Fabricación de muebles y colchones; industrias manufactureras n.c.p.</t>
  </si>
  <si>
    <t>Fabricación de equipo de transporte n.c.p.</t>
  </si>
  <si>
    <t>Fabricación de vehículos automotores, remolques y semirremolques</t>
  </si>
  <si>
    <t>Fabricación de instrumentos médicos, ópticos y de precisión; fabricación de relojes</t>
  </si>
  <si>
    <t>Fabricación de equipos y aparatos de radio, televisión y comunicaciones</t>
  </si>
  <si>
    <t>Fabricación de maquinaria y aparatos eléctricos n.c.p.</t>
  </si>
  <si>
    <t>Fabricación de maquinaria de oficina, contabilidad e informática</t>
  </si>
  <si>
    <t>Fabricación de maquinaria y equipo n.c.p.</t>
  </si>
  <si>
    <t>Fabricación de productos elaborados de metal, excepto maquinaria y equipo</t>
  </si>
  <si>
    <t>Fabricación de metales comunes</t>
  </si>
  <si>
    <t>Fabricación de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</si>
  <si>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</si>
  <si>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</si>
  <si>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</si>
  <si>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Edición e impresión;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</si>
  <si>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</si>
  <si>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</si>
  <si>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terminación de cueros; fabricación de artículos de marroquinería, talabartería y calzado y de sus partes</t>
  </si>
  <si>
    <t>Fabricación de prendas de vestir; terminación y teñido de pieles</t>
  </si>
  <si>
    <t>Fabricación de productos textiles</t>
  </si>
  <si>
    <t>Elaboración de productos de tabaco</t>
  </si>
  <si>
    <t>Elaboración de productos alimenticios y bebidas</t>
  </si>
  <si>
    <t>Industria manufacturera</t>
  </si>
  <si>
    <t>Extracción de minerales metalíferos. Explotación de minas y canteras n.c.p.</t>
  </si>
  <si>
    <t>Extracción de carbón y lignito; extracción de turba. Extracción de petróleo crudo y gas natural; actividades de servicios relacionadas con la extracción de petróleo y gas, excepto las actividades de prospección</t>
  </si>
  <si>
    <t>Explotación de minas y canteras</t>
  </si>
  <si>
    <t>Pesca</t>
  </si>
  <si>
    <t>Silvicultura, extracción de madera y servicios conexos</t>
  </si>
  <si>
    <t>Construcciones agropecuarias</t>
  </si>
  <si>
    <t>Caza, repoblación de animales de caza y servicios conexos</t>
  </si>
  <si>
    <t>Servicios agrícolas y pecuarios, excepto los veterinarios</t>
  </si>
  <si>
    <t>Cría de animales</t>
  </si>
  <si>
    <t>Cultivos agrícolas</t>
  </si>
  <si>
    <t xml:space="preserve">Agricultura, ganadería, caza y silvicultura </t>
  </si>
  <si>
    <t>Valor Bruto de Producción a Precios Básicos</t>
  </si>
  <si>
    <r>
      <t>2019 (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</si>
  <si>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>2018 (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</si>
  <si>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>2017 (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)</t>
    </r>
  </si>
  <si>
    <t>Valor Bruto de Producción a precios básicos por rama de actividad económica. Valores anuales en millones de pesos a precios de 2004</t>
  </si>
  <si>
    <t>Cuadro 1</t>
  </si>
  <si>
    <t>Valor Bruto de Producción a precios básicos por rama de actividad económica. Valores anuales en millones de pesos a precios corrientes</t>
  </si>
  <si>
    <t>Cuadro 2</t>
  </si>
  <si>
    <t>https://www.bolsar.com/Vistas/Investigaciones/FichaTecnicaEspecie.aspx?Id=651296&amp;UrlVolver=https://www.bolsar.com/VistasDL/PaginaTitulosPublicos.aspx</t>
  </si>
  <si>
    <t>https://www.bolsar.com/Vistas/Investigaciones/FichaTecnicaEspecie.aspx?Id=712897&amp;UrlVolver=https://www.bolsar.com/Vistas/Investigaciones/FichaTecnicaEspecie.aspx?Id=651296&amp;UrlVolver=https://www.bolsar.com/VistasDL/PaginaTitulosPublicos.aspx</t>
  </si>
  <si>
    <t>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</t>
  </si>
  <si>
    <t>DICY</t>
  </si>
  <si>
    <t>https://www.bolsar.com/Vistas/Investigaciones/FichaTecnicaEspecie.aspx?Id=12922&amp;UrlVolver=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</t>
  </si>
  <si>
    <t>https://www.bolsar.com/Vistas/Investigaciones/FichaTecnicaEspecie.aspx?Id=12919&amp;UrlVolver=https://www.bolsar.com/Vistas/Investigaciones/FichaTecnicaEspecie.aspx?Id=12922&amp;UrlVolver=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</t>
  </si>
  <si>
    <t>PARY</t>
  </si>
  <si>
    <t>A2E2</t>
  </si>
  <si>
    <t>AA21</t>
  </si>
  <si>
    <t>A2E7</t>
  </si>
  <si>
    <t>A2E8</t>
  </si>
  <si>
    <t>AA26</t>
  </si>
  <si>
    <t>AA46</t>
  </si>
  <si>
    <t>AE48</t>
  </si>
  <si>
    <t>AL28</t>
  </si>
  <si>
    <t>AC17</t>
  </si>
  <si>
    <t>Cupón</t>
  </si>
  <si>
    <t>Bonos Viejos</t>
  </si>
  <si>
    <t>Bonos Nuevos</t>
  </si>
  <si>
    <t>BN30</t>
  </si>
  <si>
    <t>BN36</t>
  </si>
  <si>
    <t>BN39</t>
  </si>
  <si>
    <t>BN43</t>
  </si>
  <si>
    <t>BN47</t>
  </si>
  <si>
    <t>Bono a Comparar</t>
  </si>
  <si>
    <t>Bono Nuevo</t>
  </si>
  <si>
    <t>Quita</t>
  </si>
  <si>
    <t>Tasa de Interés</t>
  </si>
  <si>
    <t>Valor Bono Viejo</t>
  </si>
  <si>
    <t>Valor Bono Nuevo</t>
  </si>
  <si>
    <t>Quita %</t>
  </si>
  <si>
    <t>Valor pre Corona</t>
  </si>
  <si>
    <t>Valor pre PASO</t>
  </si>
  <si>
    <t>Cierre 5-Ago-19</t>
  </si>
  <si>
    <t>Cierre 3-Feb-20</t>
  </si>
  <si>
    <t>Valor Cierre 2018</t>
  </si>
  <si>
    <t>Valor Cierre 2017</t>
  </si>
  <si>
    <t>Cierre 31-Dic-18</t>
  </si>
  <si>
    <t>Cierre 31-Dic-17</t>
  </si>
  <si>
    <t>Cierre 15-Abr-20</t>
  </si>
  <si>
    <t>Valor pre Oferta</t>
  </si>
  <si>
    <t>Valor pre Oferta Reestructuración</t>
  </si>
  <si>
    <t>Deuda Bruta al 31-12-19</t>
  </si>
  <si>
    <t>[Mill.US$]</t>
  </si>
  <si>
    <t>[% s/Total]</t>
  </si>
  <si>
    <t>Detalle Bonitos</t>
  </si>
  <si>
    <t>Año Emisión</t>
  </si>
  <si>
    <t>Titulos Públicos y Letras</t>
  </si>
  <si>
    <t>Discount USD</t>
  </si>
  <si>
    <t>2005/2010</t>
  </si>
  <si>
    <t>Bonitos Ley ARG</t>
  </si>
  <si>
    <t>Discount EUR</t>
  </si>
  <si>
    <t>Bonitos Ley NY</t>
  </si>
  <si>
    <t>Bonitos a Reestructurar</t>
  </si>
  <si>
    <t>PAR USD</t>
  </si>
  <si>
    <t>Letras y Otros CP</t>
  </si>
  <si>
    <t>PAR EUR</t>
  </si>
  <si>
    <t>Organismos Extranjeros</t>
  </si>
  <si>
    <t>BIRAD 21/22/23</t>
  </si>
  <si>
    <t>16/17/18</t>
  </si>
  <si>
    <t>Otros</t>
  </si>
  <si>
    <t>BIRAE 22/23</t>
  </si>
  <si>
    <t>16/17</t>
  </si>
  <si>
    <t>Total Deuda Bruta</t>
  </si>
  <si>
    <t>BIRAF 20</t>
  </si>
  <si>
    <t>Check</t>
  </si>
  <si>
    <t>BIRAD 26/27/28/36</t>
  </si>
  <si>
    <t>BIRAE 27/28</t>
  </si>
  <si>
    <t>Bono 100 Años</t>
  </si>
  <si>
    <t>BIRAD 46/48</t>
  </si>
  <si>
    <t>16/18</t>
  </si>
  <si>
    <t>BIRAE 47</t>
  </si>
  <si>
    <t>Valor Actual</t>
  </si>
  <si>
    <t>Capital Acum</t>
  </si>
  <si>
    <t>Interés Real</t>
  </si>
  <si>
    <t>Ingresos Totales</t>
  </si>
  <si>
    <t>[Mill.AR$]</t>
  </si>
  <si>
    <t>Gastos Primarios</t>
  </si>
  <si>
    <t>Prestaciones Sociales</t>
  </si>
  <si>
    <t>Subsidios</t>
  </si>
  <si>
    <t>Funcionamiento Gobierno</t>
  </si>
  <si>
    <t>Trf a Provincias</t>
  </si>
  <si>
    <t>Gastos de Capital</t>
  </si>
  <si>
    <t>Resultado Primario</t>
  </si>
  <si>
    <t>Intereses</t>
  </si>
  <si>
    <t>Resultado Financiero</t>
  </si>
  <si>
    <t>Resultado 2019</t>
  </si>
  <si>
    <t>Presupuesto</t>
  </si>
  <si>
    <t>Real</t>
  </si>
  <si>
    <t>Impuestos y Contribuciones</t>
  </si>
  <si>
    <t>[%]</t>
  </si>
  <si>
    <t>[Bill.AR$]</t>
  </si>
  <si>
    <t>[Bill.US$]</t>
  </si>
  <si>
    <t>Deuda Bruta</t>
  </si>
  <si>
    <t>Deuda/Ingresos</t>
  </si>
  <si>
    <t>Deuda/Ebtida</t>
  </si>
  <si>
    <t>Infinito</t>
  </si>
  <si>
    <t>Identificados</t>
  </si>
  <si>
    <t>PBI 2019</t>
  </si>
  <si>
    <t>Deuda/PBI</t>
  </si>
  <si>
    <t>Ajuste 20</t>
  </si>
  <si>
    <t>Valor Bono Anterior</t>
  </si>
  <si>
    <t>P2021</t>
  </si>
  <si>
    <t>R Ene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</si>
</sst>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\ #,##0.00;[Red]\-&quot;$&quot;\ #,##0.00"/>
    <numFmt numFmtId="164" formatCode="0.0%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\+0%;\-0%;\-"/>
    <numFmt numFmtId="169" formatCode="#,##0.0000;[Red]\-#,##0.0000"/>
    <numFmt numFmtId="170" formatCode="#,##0;[Red]\-#,##0;\-"/>
    <numFmt numFmtId="171" formatCode="#,##0;[Red]\(#,##0\);\-"/>
    <numFmt numFmtId="172" formatCode="[Red]\+0%;\-0%;\-"/>
    <numFmt numFmtId="173" formatCode="0.0"/>
    <numFmt numFmtId="174" formatCode="\+0%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name val="Bitstream Vera Serif"/>
      <family val="1"/>
    </font>
    <font>
      <b/>
      <sz val="9"/>
      <color indexed="54"/>
      <name val="Bitstream Vera Serif"/>
      <family val="1"/>
    </font>
    <font>
      <sz val="10"/>
      <name val="Bitstream Vera Serif"/>
    </font>
    <font>
      <b/>
      <sz val="10"/>
      <color indexed="12"/>
      <name val="Bitstream Vera Serif"/>
    </font>
    <font>
      <sz val="10"/>
      <name val="Calibri"/>
      <family val="2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b/>
      <i/>
      <sz val="11"/>
      <color theme="1"/>
      <name val="Calibri"/>
      <family val="2"/>
      <scheme val="minor"/>
    </font>
    <font>
      <sz val="10"/>
      <color theme="2"/>
      <name val="Segoe UI"/>
      <family val="2"/>
    </font>
    <font>
      <b/>
      <sz val="10"/>
      <color theme="2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i/>
      <sz val="12"/>
      <color theme="1"/>
      <name val="Segoe UI"/>
      <family val="2"/>
    </font>
    <font>
      <i/>
      <sz val="11"/>
      <color theme="1"/>
      <name val="Segoe UI"/>
      <family val="2"/>
    </font>
    <font>
      <b/>
      <i/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vertical="center"/>
    </xf>
    <xf numFmtId="8" fontId="1" fillId="2" borderId="0" xfId="0" applyNumberFormat="1" applyFont="1" applyFill="1" applyAlignment="1">
      <alignment vertical="center"/>
    </xf>
    <xf numFmtId="0" fontId="5" fillId="0" borderId="0" xfId="2"/>
    <xf numFmtId="38" fontId="0" fillId="0" borderId="0" xfId="0" applyNumberFormat="1"/>
    <xf numFmtId="38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38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3" borderId="0" xfId="3" applyFont="1" applyFill="1"/>
    <xf numFmtId="4" fontId="7" fillId="3" borderId="0" xfId="3" applyNumberFormat="1" applyFont="1" applyFill="1" applyAlignment="1">
      <alignment horizontal="right"/>
    </xf>
    <xf numFmtId="0" fontId="7" fillId="3" borderId="0" xfId="3" applyFont="1" applyFill="1" applyAlignment="1">
      <alignment horizontal="center"/>
    </xf>
    <xf numFmtId="4" fontId="6" fillId="3" borderId="0" xfId="3" applyNumberFormat="1" applyFill="1" applyAlignment="1">
      <alignment horizontal="right"/>
    </xf>
    <xf numFmtId="0" fontId="6" fillId="3" borderId="0" xfId="3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3" fontId="7" fillId="3" borderId="0" xfId="3" applyNumberFormat="1" applyFont="1" applyFill="1"/>
    <xf numFmtId="165" fontId="7" fillId="3" borderId="0" xfId="4" applyFont="1" applyFill="1" applyBorder="1"/>
    <xf numFmtId="3" fontId="7" fillId="0" borderId="0" xfId="3" applyNumberFormat="1" applyFont="1"/>
    <xf numFmtId="0" fontId="7" fillId="3" borderId="0" xfId="3" applyFont="1" applyFill="1" applyAlignment="1">
      <alignment horizontal="left"/>
    </xf>
    <xf numFmtId="0" fontId="7" fillId="0" borderId="0" xfId="3" applyFont="1"/>
    <xf numFmtId="3" fontId="7" fillId="3" borderId="0" xfId="3" applyNumberFormat="1" applyFont="1" applyFill="1" applyAlignment="1">
      <alignment horizontal="left"/>
    </xf>
    <xf numFmtId="4" fontId="7" fillId="3" borderId="1" xfId="3" applyNumberFormat="1" applyFont="1" applyFill="1" applyBorder="1" applyAlignment="1">
      <alignment horizontal="right"/>
    </xf>
    <xf numFmtId="4" fontId="7" fillId="3" borderId="2" xfId="3" applyNumberFormat="1" applyFont="1" applyFill="1" applyBorder="1" applyAlignment="1">
      <alignment horizontal="right"/>
    </xf>
    <xf numFmtId="4" fontId="8" fillId="3" borderId="2" xfId="3" applyNumberFormat="1" applyFont="1" applyFill="1" applyBorder="1" applyAlignment="1">
      <alignment horizontal="right"/>
    </xf>
    <xf numFmtId="0" fontId="7" fillId="3" borderId="2" xfId="3" applyFont="1" applyFill="1" applyBorder="1" applyAlignment="1">
      <alignment horizontal="center"/>
    </xf>
    <xf numFmtId="166" fontId="7" fillId="3" borderId="2" xfId="4" applyNumberFormat="1" applyFont="1" applyFill="1" applyBorder="1" applyAlignment="1">
      <alignment horizontal="center"/>
    </xf>
    <xf numFmtId="166" fontId="8" fillId="3" borderId="0" xfId="3" applyNumberFormat="1" applyFont="1" applyFill="1"/>
    <xf numFmtId="3" fontId="7" fillId="3" borderId="0" xfId="4" applyNumberFormat="1" applyFont="1" applyFill="1" applyAlignment="1">
      <alignment horizontal="right"/>
    </xf>
    <xf numFmtId="166" fontId="7" fillId="3" borderId="0" xfId="4" applyNumberFormat="1" applyFont="1" applyFill="1" applyBorder="1" applyAlignment="1">
      <alignment horizontal="center" vertical="center"/>
    </xf>
    <xf numFmtId="3" fontId="8" fillId="3" borderId="3" xfId="4" applyNumberFormat="1" applyFont="1" applyFill="1" applyBorder="1"/>
    <xf numFmtId="3" fontId="8" fillId="3" borderId="0" xfId="4" applyNumberFormat="1" applyFont="1" applyFill="1"/>
    <xf numFmtId="3" fontId="7" fillId="3" borderId="0" xfId="4" applyNumberFormat="1" applyFont="1" applyFill="1" applyAlignment="1">
      <alignment horizontal="center"/>
    </xf>
    <xf numFmtId="0" fontId="7" fillId="3" borderId="0" xfId="3" applyFont="1" applyFill="1" applyAlignment="1">
      <alignment horizontal="center" vertical="center"/>
    </xf>
    <xf numFmtId="0" fontId="7" fillId="3" borderId="0" xfId="3" applyFont="1" applyFill="1" applyAlignment="1">
      <alignment horizontal="center" vertical="center" wrapText="1"/>
    </xf>
    <xf numFmtId="3" fontId="7" fillId="3" borderId="0" xfId="4" applyNumberFormat="1" applyFont="1" applyFill="1"/>
    <xf numFmtId="166" fontId="7" fillId="3" borderId="0" xfId="3" applyNumberFormat="1" applyFont="1" applyFill="1"/>
    <xf numFmtId="3" fontId="8" fillId="3" borderId="0" xfId="3" applyNumberFormat="1" applyFont="1" applyFill="1"/>
    <xf numFmtId="3" fontId="8" fillId="3" borderId="0" xfId="3" applyNumberFormat="1" applyFont="1" applyFill="1" applyAlignment="1">
      <alignment horizontal="center"/>
    </xf>
    <xf numFmtId="3" fontId="8" fillId="3" borderId="0" xfId="4" applyNumberFormat="1" applyFont="1" applyFill="1" applyAlignment="1">
      <alignment horizontal="center"/>
    </xf>
    <xf numFmtId="166" fontId="8" fillId="3" borderId="0" xfId="3" applyNumberFormat="1" applyFont="1" applyFill="1" applyAlignment="1">
      <alignment horizontal="center"/>
    </xf>
    <xf numFmtId="165" fontId="7" fillId="3" borderId="0" xfId="4" applyFont="1" applyFill="1" applyBorder="1" applyAlignment="1">
      <alignment horizontal="center" vertical="center"/>
    </xf>
    <xf numFmtId="4" fontId="7" fillId="3" borderId="3" xfId="3" applyNumberFormat="1" applyFont="1" applyFill="1" applyBorder="1" applyAlignment="1">
      <alignment horizontal="right"/>
    </xf>
    <xf numFmtId="4" fontId="8" fillId="3" borderId="0" xfId="3" applyNumberFormat="1" applyFont="1" applyFill="1" applyAlignment="1">
      <alignment horizontal="right"/>
    </xf>
    <xf numFmtId="167" fontId="7" fillId="3" borderId="0" xfId="4" applyNumberFormat="1" applyFont="1" applyFill="1" applyBorder="1" applyAlignment="1">
      <alignment horizontal="center" vertical="center"/>
    </xf>
    <xf numFmtId="166" fontId="8" fillId="3" borderId="0" xfId="4" applyNumberFormat="1" applyFont="1" applyFill="1" applyBorder="1" applyAlignment="1">
      <alignment horizontal="center" vertical="center"/>
    </xf>
    <xf numFmtId="4" fontId="8" fillId="3" borderId="3" xfId="3" applyNumberFormat="1" applyFont="1" applyFill="1" applyBorder="1" applyAlignment="1">
      <alignment horizontal="right"/>
    </xf>
    <xf numFmtId="4" fontId="9" fillId="3" borderId="0" xfId="3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center"/>
    </xf>
    <xf numFmtId="4" fontId="8" fillId="3" borderId="1" xfId="3" applyNumberFormat="1" applyFont="1" applyFill="1" applyBorder="1" applyAlignment="1">
      <alignment horizontal="right"/>
    </xf>
    <xf numFmtId="4" fontId="9" fillId="3" borderId="2" xfId="3" applyNumberFormat="1" applyFont="1" applyFill="1" applyBorder="1" applyAlignment="1">
      <alignment horizontal="right"/>
    </xf>
    <xf numFmtId="4" fontId="7" fillId="3" borderId="2" xfId="3" applyNumberFormat="1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3" fontId="8" fillId="3" borderId="1" xfId="3" applyNumberFormat="1" applyFont="1" applyFill="1" applyBorder="1" applyAlignment="1">
      <alignment horizontal="right"/>
    </xf>
    <xf numFmtId="3" fontId="7" fillId="3" borderId="2" xfId="3" applyNumberFormat="1" applyFont="1" applyFill="1" applyBorder="1" applyAlignment="1">
      <alignment horizontal="right"/>
    </xf>
    <xf numFmtId="3" fontId="9" fillId="3" borderId="2" xfId="3" applyNumberFormat="1" applyFont="1" applyFill="1" applyBorder="1" applyAlignment="1">
      <alignment horizontal="right"/>
    </xf>
    <xf numFmtId="3" fontId="8" fillId="3" borderId="2" xfId="3" applyNumberFormat="1" applyFont="1" applyFill="1" applyBorder="1" applyAlignment="1">
      <alignment horizontal="right"/>
    </xf>
    <xf numFmtId="3" fontId="7" fillId="3" borderId="2" xfId="3" applyNumberFormat="1" applyFont="1" applyFill="1" applyBorder="1" applyAlignment="1">
      <alignment horizontal="center"/>
    </xf>
    <xf numFmtId="3" fontId="7" fillId="3" borderId="2" xfId="4" applyNumberFormat="1" applyFont="1" applyFill="1" applyBorder="1"/>
    <xf numFmtId="3" fontId="8" fillId="3" borderId="2" xfId="4" applyNumberFormat="1" applyFont="1" applyFill="1" applyBorder="1"/>
    <xf numFmtId="3" fontId="8" fillId="3" borderId="0" xfId="3" applyNumberFormat="1" applyFont="1" applyFill="1" applyAlignment="1">
      <alignment horizontal="right"/>
    </xf>
    <xf numFmtId="3" fontId="8" fillId="3" borderId="3" xfId="3" applyNumberFormat="1" applyFont="1" applyFill="1" applyBorder="1" applyAlignment="1">
      <alignment horizontal="right"/>
    </xf>
    <xf numFmtId="3" fontId="7" fillId="3" borderId="0" xfId="3" applyNumberFormat="1" applyFont="1" applyFill="1" applyAlignment="1">
      <alignment horizontal="right"/>
    </xf>
    <xf numFmtId="3" fontId="9" fillId="3" borderId="0" xfId="3" applyNumberFormat="1" applyFont="1" applyFill="1" applyAlignment="1">
      <alignment horizontal="right"/>
    </xf>
    <xf numFmtId="3" fontId="7" fillId="3" borderId="0" xfId="3" applyNumberFormat="1" applyFont="1" applyFill="1" applyAlignment="1">
      <alignment horizontal="center"/>
    </xf>
    <xf numFmtId="165" fontId="7" fillId="4" borderId="0" xfId="4" applyFont="1" applyFill="1" applyBorder="1"/>
    <xf numFmtId="3" fontId="7" fillId="4" borderId="0" xfId="3" applyNumberFormat="1" applyFont="1" applyFill="1"/>
    <xf numFmtId="0" fontId="8" fillId="3" borderId="3" xfId="3" applyFont="1" applyFill="1" applyBorder="1" applyAlignment="1">
      <alignment horizontal="right"/>
    </xf>
    <xf numFmtId="0" fontId="7" fillId="3" borderId="0" xfId="3" applyFont="1" applyFill="1" applyAlignment="1">
      <alignment horizontal="right"/>
    </xf>
    <xf numFmtId="0" fontId="9" fillId="3" borderId="0" xfId="3" applyFont="1" applyFill="1" applyAlignment="1">
      <alignment horizontal="right"/>
    </xf>
    <xf numFmtId="0" fontId="8" fillId="3" borderId="0" xfId="3" applyFont="1" applyFill="1" applyAlignment="1">
      <alignment horizontal="right"/>
    </xf>
    <xf numFmtId="0" fontId="8" fillId="3" borderId="0" xfId="3" applyFont="1" applyFill="1"/>
    <xf numFmtId="0" fontId="8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3" fontId="9" fillId="3" borderId="0" xfId="4" applyNumberFormat="1" applyFont="1" applyFill="1"/>
    <xf numFmtId="3" fontId="10" fillId="3" borderId="0" xfId="4" applyNumberFormat="1" applyFont="1" applyFill="1"/>
    <xf numFmtId="0" fontId="8" fillId="3" borderId="0" xfId="3" applyFont="1" applyFill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3" fontId="8" fillId="3" borderId="3" xfId="3" applyNumberFormat="1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7" fillId="3" borderId="2" xfId="3" quotePrefix="1" applyFont="1" applyFill="1" applyBorder="1" applyAlignment="1">
      <alignment horizontal="center" vertical="center" wrapText="1"/>
    </xf>
    <xf numFmtId="49" fontId="7" fillId="3" borderId="0" xfId="3" applyNumberFormat="1" applyFont="1" applyFill="1" applyAlignment="1">
      <alignment horizontal="center" vertical="center"/>
    </xf>
    <xf numFmtId="3" fontId="8" fillId="3" borderId="0" xfId="3" applyNumberFormat="1" applyFont="1" applyFill="1" applyAlignment="1">
      <alignment horizontal="center" vertical="center"/>
    </xf>
    <xf numFmtId="3" fontId="7" fillId="3" borderId="0" xfId="3" applyNumberFormat="1" applyFont="1" applyFill="1" applyAlignment="1">
      <alignment horizontal="center" vertical="center"/>
    </xf>
    <xf numFmtId="3" fontId="11" fillId="3" borderId="2" xfId="3" applyNumberFormat="1" applyFont="1" applyFill="1" applyBorder="1"/>
    <xf numFmtId="0" fontId="11" fillId="3" borderId="2" xfId="3" applyFont="1" applyFill="1" applyBorder="1"/>
    <xf numFmtId="3" fontId="12" fillId="3" borderId="2" xfId="3" applyNumberFormat="1" applyFont="1" applyFill="1" applyBorder="1" applyAlignment="1">
      <alignment horizontal="center" vertical="center"/>
    </xf>
    <xf numFmtId="0" fontId="7" fillId="3" borderId="2" xfId="3" applyFont="1" applyFill="1" applyBorder="1"/>
    <xf numFmtId="4" fontId="12" fillId="3" borderId="2" xfId="3" applyNumberFormat="1" applyFont="1" applyFill="1" applyBorder="1" applyAlignment="1">
      <alignment horizontal="right"/>
    </xf>
    <xf numFmtId="0" fontId="13" fillId="3" borderId="2" xfId="3" applyFont="1" applyFill="1" applyBorder="1"/>
    <xf numFmtId="0" fontId="14" fillId="3" borderId="2" xfId="3" applyFont="1" applyFill="1" applyBorder="1"/>
    <xf numFmtId="3" fontId="11" fillId="3" borderId="0" xfId="3" applyNumberFormat="1" applyFont="1" applyFill="1"/>
    <xf numFmtId="0" fontId="11" fillId="3" borderId="0" xfId="3" applyFont="1" applyFill="1"/>
    <xf numFmtId="3" fontId="12" fillId="3" borderId="0" xfId="3" applyNumberFormat="1" applyFont="1" applyFill="1" applyAlignment="1">
      <alignment horizontal="center" vertical="center"/>
    </xf>
    <xf numFmtId="4" fontId="12" fillId="3" borderId="0" xfId="3" applyNumberFormat="1" applyFont="1" applyFill="1" applyAlignment="1">
      <alignment horizontal="right"/>
    </xf>
    <xf numFmtId="0" fontId="6" fillId="3" borderId="0" xfId="3" applyFill="1"/>
    <xf numFmtId="0" fontId="11" fillId="3" borderId="0" xfId="3" applyFont="1" applyFill="1" applyAlignment="1">
      <alignment horizontal="center"/>
    </xf>
    <xf numFmtId="4" fontId="11" fillId="3" borderId="0" xfId="3" applyNumberFormat="1" applyFont="1" applyFill="1" applyAlignment="1">
      <alignment horizontal="right"/>
    </xf>
    <xf numFmtId="0" fontId="6" fillId="3" borderId="0" xfId="3" applyFill="1" applyAlignment="1">
      <alignment horizontal="left"/>
    </xf>
    <xf numFmtId="0" fontId="15" fillId="3" borderId="0" xfId="3" applyFont="1" applyFill="1"/>
    <xf numFmtId="0" fontId="16" fillId="3" borderId="0" xfId="3" applyFont="1" applyFill="1"/>
    <xf numFmtId="0" fontId="17" fillId="3" borderId="0" xfId="3" applyFont="1" applyFill="1"/>
    <xf numFmtId="3" fontId="16" fillId="3" borderId="0" xfId="3" applyNumberFormat="1" applyFont="1" applyFill="1"/>
    <xf numFmtId="3" fontId="16" fillId="3" borderId="0" xfId="3" applyNumberFormat="1" applyFont="1" applyFill="1" applyAlignment="1">
      <alignment wrapText="1"/>
    </xf>
    <xf numFmtId="3" fontId="20" fillId="3" borderId="2" xfId="3" applyNumberFormat="1" applyFont="1" applyFill="1" applyBorder="1"/>
    <xf numFmtId="0" fontId="8" fillId="3" borderId="2" xfId="3" applyFont="1" applyFill="1" applyBorder="1" applyAlignment="1">
      <alignment wrapText="1"/>
    </xf>
    <xf numFmtId="3" fontId="20" fillId="3" borderId="0" xfId="3" applyNumberFormat="1" applyFont="1" applyFill="1"/>
    <xf numFmtId="0" fontId="8" fillId="3" borderId="0" xfId="3" applyFont="1" applyFill="1" applyAlignment="1">
      <alignment wrapText="1"/>
    </xf>
    <xf numFmtId="0" fontId="20" fillId="3" borderId="0" xfId="3" applyFont="1" applyFill="1"/>
    <xf numFmtId="0" fontId="21" fillId="3" borderId="0" xfId="3" applyFont="1" applyFill="1"/>
    <xf numFmtId="0" fontId="20" fillId="3" borderId="0" xfId="3" applyFont="1" applyFill="1" applyAlignment="1">
      <alignment horizontal="center"/>
    </xf>
    <xf numFmtId="0" fontId="16" fillId="3" borderId="2" xfId="3" applyFont="1" applyFill="1" applyBorder="1"/>
    <xf numFmtId="0" fontId="16" fillId="3" borderId="5" xfId="3" applyFont="1" applyFill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5" borderId="0" xfId="0" applyFont="1" applyFill="1" applyAlignment="1">
      <alignment horizontal="center"/>
    </xf>
    <xf numFmtId="9" fontId="22" fillId="5" borderId="0" xfId="0" applyNumberFormat="1" applyFont="1" applyFill="1"/>
    <xf numFmtId="8" fontId="22" fillId="0" borderId="0" xfId="0" applyNumberFormat="1" applyFont="1"/>
    <xf numFmtId="0" fontId="23" fillId="0" borderId="0" xfId="0" applyFont="1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2" borderId="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2" fillId="0" borderId="6" xfId="0" applyFont="1" applyBorder="1" applyAlignment="1">
      <alignment horizontal="left"/>
    </xf>
    <xf numFmtId="168" fontId="22" fillId="0" borderId="0" xfId="0" applyNumberFormat="1" applyFont="1"/>
    <xf numFmtId="168" fontId="22" fillId="2" borderId="7" xfId="1" applyNumberFormat="1" applyFont="1" applyFill="1" applyBorder="1"/>
    <xf numFmtId="168" fontId="4" fillId="0" borderId="0" xfId="0" applyNumberFormat="1" applyFont="1"/>
    <xf numFmtId="168" fontId="22" fillId="0" borderId="7" xfId="1" applyNumberFormat="1" applyFont="1" applyBorder="1"/>
    <xf numFmtId="9" fontId="22" fillId="5" borderId="0" xfId="0" applyNumberFormat="1" applyFont="1" applyFill="1" applyAlignment="1">
      <alignment horizontal="center"/>
    </xf>
    <xf numFmtId="10" fontId="22" fillId="0" borderId="0" xfId="0" applyNumberFormat="1" applyFont="1"/>
    <xf numFmtId="0" fontId="25" fillId="0" borderId="0" xfId="0" applyFont="1"/>
    <xf numFmtId="168" fontId="25" fillId="0" borderId="0" xfId="0" applyNumberFormat="1" applyFont="1"/>
    <xf numFmtId="9" fontId="26" fillId="0" borderId="0" xfId="0" applyNumberFormat="1" applyFont="1"/>
    <xf numFmtId="9" fontId="25" fillId="0" borderId="0" xfId="0" applyNumberFormat="1" applyFont="1"/>
    <xf numFmtId="0" fontId="27" fillId="0" borderId="2" xfId="0" applyFont="1" applyBorder="1" applyAlignment="1">
      <alignment vertical="center"/>
    </xf>
    <xf numFmtId="38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38" fontId="28" fillId="0" borderId="0" xfId="0" applyNumberFormat="1" applyFont="1" applyAlignment="1">
      <alignment horizontal="center" vertical="center"/>
    </xf>
    <xf numFmtId="9" fontId="29" fillId="0" borderId="0" xfId="1" applyFont="1" applyAlignment="1">
      <alignment horizontal="center" vertical="center"/>
    </xf>
    <xf numFmtId="2" fontId="29" fillId="0" borderId="0" xfId="1" quotePrefix="1" applyNumberFormat="1" applyFont="1" applyAlignment="1">
      <alignment horizontal="center" vertical="center"/>
    </xf>
    <xf numFmtId="3" fontId="28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indent="2"/>
    </xf>
    <xf numFmtId="38" fontId="23" fillId="0" borderId="0" xfId="0" applyNumberFormat="1" applyFont="1" applyAlignment="1">
      <alignment horizontal="center" vertical="center"/>
    </xf>
    <xf numFmtId="9" fontId="23" fillId="0" borderId="0" xfId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3" fillId="2" borderId="8" xfId="0" applyFont="1" applyFill="1" applyBorder="1" applyAlignment="1">
      <alignment horizontal="left" vertical="center" indent="2"/>
    </xf>
    <xf numFmtId="38" fontId="23" fillId="2" borderId="9" xfId="0" applyNumberFormat="1" applyFont="1" applyFill="1" applyBorder="1" applyAlignment="1">
      <alignment horizontal="center" vertical="center"/>
    </xf>
    <xf numFmtId="9" fontId="23" fillId="2" borderId="10" xfId="1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38" fontId="27" fillId="0" borderId="11" xfId="0" applyNumberFormat="1" applyFont="1" applyBorder="1" applyAlignment="1">
      <alignment horizontal="center" vertical="center"/>
    </xf>
    <xf numFmtId="1" fontId="29" fillId="0" borderId="0" xfId="1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9" fontId="29" fillId="0" borderId="0" xfId="0" applyNumberFormat="1" applyFont="1" applyAlignment="1">
      <alignment horizontal="center" vertical="center"/>
    </xf>
    <xf numFmtId="3" fontId="27" fillId="0" borderId="11" xfId="0" applyNumberFormat="1" applyFont="1" applyBorder="1" applyAlignment="1">
      <alignment vertical="center"/>
    </xf>
    <xf numFmtId="2" fontId="29" fillId="0" borderId="0" xfId="1" applyNumberFormat="1" applyFont="1" applyAlignment="1">
      <alignment horizontal="center" vertical="center"/>
    </xf>
    <xf numFmtId="0" fontId="31" fillId="5" borderId="0" xfId="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170" fontId="28" fillId="0" borderId="0" xfId="0" applyNumberFormat="1" applyFont="1" applyAlignment="1">
      <alignment horizontal="center" vertical="center"/>
    </xf>
    <xf numFmtId="170" fontId="28" fillId="0" borderId="2" xfId="0" applyNumberFormat="1" applyFont="1" applyBorder="1" applyAlignment="1">
      <alignment horizontal="center" vertical="center"/>
    </xf>
    <xf numFmtId="170" fontId="28" fillId="0" borderId="0" xfId="0" applyNumberFormat="1" applyFont="1" applyAlignment="1">
      <alignment vertical="center"/>
    </xf>
    <xf numFmtId="168" fontId="28" fillId="0" borderId="0" xfId="1" applyNumberFormat="1" applyFont="1" applyAlignment="1">
      <alignment horizontal="center" vertical="center"/>
    </xf>
    <xf numFmtId="168" fontId="23" fillId="0" borderId="0" xfId="1" applyNumberFormat="1" applyFont="1" applyAlignment="1">
      <alignment horizontal="center" vertical="center"/>
    </xf>
    <xf numFmtId="168" fontId="27" fillId="0" borderId="11" xfId="1" applyNumberFormat="1" applyFont="1" applyBorder="1" applyAlignment="1">
      <alignment horizontal="center" vertical="center"/>
    </xf>
    <xf numFmtId="168" fontId="28" fillId="0" borderId="0" xfId="1" applyNumberFormat="1" applyFont="1" applyAlignment="1">
      <alignment vertical="center"/>
    </xf>
    <xf numFmtId="171" fontId="28" fillId="0" borderId="0" xfId="0" applyNumberFormat="1" applyFont="1" applyAlignment="1">
      <alignment horizontal="center" vertical="center"/>
    </xf>
    <xf numFmtId="171" fontId="23" fillId="0" borderId="0" xfId="0" applyNumberFormat="1" applyFont="1" applyAlignment="1">
      <alignment horizontal="center" vertical="center"/>
    </xf>
    <xf numFmtId="171" fontId="27" fillId="0" borderId="11" xfId="0" applyNumberFormat="1" applyFont="1" applyBorder="1" applyAlignment="1">
      <alignment horizontal="center" vertical="center"/>
    </xf>
    <xf numFmtId="172" fontId="28" fillId="0" borderId="0" xfId="1" applyNumberFormat="1" applyFont="1" applyAlignment="1">
      <alignment horizontal="center" vertical="center"/>
    </xf>
    <xf numFmtId="172" fontId="23" fillId="0" borderId="0" xfId="1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70" fontId="27" fillId="0" borderId="0" xfId="0" applyNumberFormat="1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168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0" fontId="29" fillId="0" borderId="2" xfId="0" applyNumberFormat="1" applyFont="1" applyBorder="1" applyAlignment="1">
      <alignment horizontal="center" vertical="center"/>
    </xf>
    <xf numFmtId="168" fontId="29" fillId="0" borderId="2" xfId="1" applyNumberFormat="1" applyFont="1" applyBorder="1" applyAlignment="1">
      <alignment horizontal="center" vertical="center"/>
    </xf>
    <xf numFmtId="38" fontId="29" fillId="0" borderId="2" xfId="0" applyNumberFormat="1" applyFont="1" applyBorder="1" applyAlignment="1">
      <alignment horizontal="center" vertical="center"/>
    </xf>
    <xf numFmtId="170" fontId="29" fillId="0" borderId="0" xfId="0" applyNumberFormat="1" applyFont="1" applyAlignment="1">
      <alignment horizontal="center" vertical="center"/>
    </xf>
    <xf numFmtId="38" fontId="29" fillId="0" borderId="0" xfId="0" applyNumberFormat="1" applyFont="1" applyAlignment="1">
      <alignment horizontal="center" vertical="center"/>
    </xf>
    <xf numFmtId="168" fontId="29" fillId="0" borderId="0" xfId="1" applyNumberFormat="1" applyFont="1" applyAlignment="1">
      <alignment horizontal="center" vertical="center"/>
    </xf>
    <xf numFmtId="173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 indent="1"/>
    </xf>
    <xf numFmtId="38" fontId="27" fillId="2" borderId="11" xfId="0" applyNumberFormat="1" applyFont="1" applyFill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/>
    </xf>
    <xf numFmtId="1" fontId="28" fillId="0" borderId="0" xfId="1" quotePrefix="1" applyNumberFormat="1" applyFont="1" applyAlignment="1">
      <alignment horizontal="center" vertical="center"/>
    </xf>
    <xf numFmtId="1" fontId="28" fillId="0" borderId="0" xfId="1" applyNumberFormat="1" applyFont="1" applyAlignment="1">
      <alignment horizontal="center" vertical="center"/>
    </xf>
    <xf numFmtId="38" fontId="28" fillId="2" borderId="0" xfId="0" applyNumberFormat="1" applyFont="1" applyFill="1" applyAlignment="1">
      <alignment horizontal="center" vertical="center"/>
    </xf>
    <xf numFmtId="174" fontId="23" fillId="0" borderId="0" xfId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3" borderId="5" xfId="3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horizontal="center" vertical="center"/>
    </xf>
    <xf numFmtId="0" fontId="16" fillId="3" borderId="5" xfId="3" applyFont="1" applyFill="1" applyBorder="1" applyAlignment="1">
      <alignment wrapText="1" readingOrder="1"/>
    </xf>
    <xf numFmtId="0" fontId="16" fillId="0" borderId="2" xfId="3" applyFont="1" applyBorder="1" applyAlignment="1">
      <alignment wrapText="1" readingOrder="1"/>
    </xf>
  </cellXfs>
  <cellStyles count="5">
    <cellStyle name="Hipervínculo" xfId="2" builtinId="8"/>
    <cellStyle name="Millares 2" xfId="4" xr:uid="{B3901537-9B49-41AC-AE82-0AE21F77D1E4}"/>
    <cellStyle name="Normal" xfId="0" builtinId="0"/>
    <cellStyle name="Normal 2" xfId="3" xr:uid="{8818A087-2C41-4F5F-ADD0-84156041A0E3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Perfil de Deuda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044714917801757E-2"/>
          <c:y val="0.14841936774709885"/>
          <c:w val="0.93574212815459812"/>
          <c:h val="0.69165169494658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'Comparación Reestructuración'!$C$2</c:f>
              <c:strCache>
                <c:ptCount val="1"/>
                <c:pt idx="0">
                  <c:v>AC17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'Comparación Reestructuración'!$B$6:$B$36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'Comparación Reestructuración'!$C$6:$C$36</c:f>
              <c:numCache>
                <c:formatCode>General</c:formatCode>
                <c:ptCount val="31"/>
                <c:pt idx="0">
                  <c:v>7.125</c:v>
                </c:pt>
                <c:pt idx="1">
                  <c:v>7.125</c:v>
                </c:pt>
                <c:pt idx="2">
                  <c:v>7.125</c:v>
                </c:pt>
                <c:pt idx="3">
                  <c:v>7.125</c:v>
                </c:pt>
                <c:pt idx="4">
                  <c:v>7.125</c:v>
                </c:pt>
                <c:pt idx="5">
                  <c:v>7.125</c:v>
                </c:pt>
                <c:pt idx="6">
                  <c:v>7.125</c:v>
                </c:pt>
                <c:pt idx="7">
                  <c:v>7.125</c:v>
                </c:pt>
                <c:pt idx="8">
                  <c:v>7.125</c:v>
                </c:pt>
                <c:pt idx="9">
                  <c:v>7.125</c:v>
                </c:pt>
                <c:pt idx="10">
                  <c:v>7.125</c:v>
                </c:pt>
                <c:pt idx="11">
                  <c:v>7.125</c:v>
                </c:pt>
                <c:pt idx="12">
                  <c:v>7.125</c:v>
                </c:pt>
                <c:pt idx="13">
                  <c:v>7.125</c:v>
                </c:pt>
                <c:pt idx="14">
                  <c:v>7.125</c:v>
                </c:pt>
                <c:pt idx="15">
                  <c:v>7.125</c:v>
                </c:pt>
                <c:pt idx="16">
                  <c:v>7.125</c:v>
                </c:pt>
                <c:pt idx="17">
                  <c:v>7.125</c:v>
                </c:pt>
                <c:pt idx="18">
                  <c:v>7.125</c:v>
                </c:pt>
                <c:pt idx="19">
                  <c:v>7.125</c:v>
                </c:pt>
                <c:pt idx="20">
                  <c:v>7.125</c:v>
                </c:pt>
                <c:pt idx="21">
                  <c:v>7.125</c:v>
                </c:pt>
                <c:pt idx="22">
                  <c:v>7.125</c:v>
                </c:pt>
                <c:pt idx="23">
                  <c:v>7.125</c:v>
                </c:pt>
                <c:pt idx="24">
                  <c:v>7.125</c:v>
                </c:pt>
                <c:pt idx="25">
                  <c:v>7.125</c:v>
                </c:pt>
                <c:pt idx="26">
                  <c:v>7.125</c:v>
                </c:pt>
                <c:pt idx="27">
                  <c:v>7.125</c:v>
                </c:pt>
                <c:pt idx="28">
                  <c:v>7.125</c:v>
                </c:pt>
                <c:pt idx="29">
                  <c:v>7.125</c:v>
                </c:pt>
                <c:pt idx="30">
                  <c:v>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F-4DBB-A921-7E1FE57252DB}"/>
            </c:ext>
          </c:extLst>
        </c:ser>
        <c:ser>
          <c:idx val="1"/>
          <c:order val="1"/>
          <c:tx>
            <c:strRef>
              <c:f>'Comparación Reestructuración'!$F$2</c:f>
              <c:strCache>
                <c:ptCount val="1"/>
                <c:pt idx="0">
                  <c:v>BN43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'Comparación Reestructuración'!$B$6:$B$36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'Comparación Reestructuración'!$F$6:$F$36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3</c:v>
                </c:pt>
                <c:pt idx="5">
                  <c:v>3</c:v>
                </c:pt>
                <c:pt idx="6">
                  <c:v>3.625</c:v>
                </c:pt>
                <c:pt idx="7">
                  <c:v>3.625</c:v>
                </c:pt>
                <c:pt idx="8">
                  <c:v>3.625</c:v>
                </c:pt>
                <c:pt idx="9">
                  <c:v>3.625</c:v>
                </c:pt>
                <c:pt idx="10">
                  <c:v>12.017857142857142</c:v>
                </c:pt>
                <c:pt idx="11">
                  <c:v>11.669642857142858</c:v>
                </c:pt>
                <c:pt idx="12">
                  <c:v>11.321428571428573</c:v>
                </c:pt>
                <c:pt idx="13">
                  <c:v>10.973214285714286</c:v>
                </c:pt>
                <c:pt idx="14">
                  <c:v>10.625</c:v>
                </c:pt>
                <c:pt idx="15">
                  <c:v>10.276785714285715</c:v>
                </c:pt>
                <c:pt idx="16">
                  <c:v>9.9285714285714306</c:v>
                </c:pt>
                <c:pt idx="17">
                  <c:v>9.5803571428571441</c:v>
                </c:pt>
                <c:pt idx="18">
                  <c:v>9.2321428571428577</c:v>
                </c:pt>
                <c:pt idx="19">
                  <c:v>8.883928571428573</c:v>
                </c:pt>
                <c:pt idx="20">
                  <c:v>8.5357142857142865</c:v>
                </c:pt>
                <c:pt idx="21">
                  <c:v>8.1875</c:v>
                </c:pt>
                <c:pt idx="22">
                  <c:v>7.8392857142857153</c:v>
                </c:pt>
                <c:pt idx="23">
                  <c:v>7.4910714285714297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F-4DBB-A921-7E1FE57252DB}"/>
            </c:ext>
          </c:extLst>
        </c:ser>
        <c:ser>
          <c:idx val="2"/>
          <c:order val="2"/>
          <c:tx>
            <c:v>NUEVO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'Comparación Reestructuración'!$I$6:$I$36</c:f>
              <c:numCache>
                <c:formatCode>General</c:formatCode>
                <c:ptCount val="31"/>
                <c:pt idx="0">
                  <c:v>0</c:v>
                </c:pt>
                <c:pt idx="1">
                  <c:v>0.25</c:v>
                </c:pt>
                <c:pt idx="2">
                  <c:v>2.5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10.642857142857142</c:v>
                </c:pt>
                <c:pt idx="9">
                  <c:v>10.392857142857142</c:v>
                </c:pt>
                <c:pt idx="10">
                  <c:v>11.321428571428573</c:v>
                </c:pt>
                <c:pt idx="11">
                  <c:v>10.973214285714286</c:v>
                </c:pt>
                <c:pt idx="12">
                  <c:v>10.625</c:v>
                </c:pt>
                <c:pt idx="13">
                  <c:v>10.276785714285715</c:v>
                </c:pt>
                <c:pt idx="14">
                  <c:v>9.9285714285714306</c:v>
                </c:pt>
                <c:pt idx="15">
                  <c:v>9.5803571428571441</c:v>
                </c:pt>
                <c:pt idx="16">
                  <c:v>9.2321428571428577</c:v>
                </c:pt>
                <c:pt idx="17">
                  <c:v>8.883928571428573</c:v>
                </c:pt>
                <c:pt idx="18">
                  <c:v>8.5357142857142865</c:v>
                </c:pt>
                <c:pt idx="19">
                  <c:v>8.1875</c:v>
                </c:pt>
                <c:pt idx="20">
                  <c:v>7.8392857142857153</c:v>
                </c:pt>
                <c:pt idx="21">
                  <c:v>7.4910714285714297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7-4868-9F39-B67E723C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25"/>
        <c:axId val="1438187856"/>
        <c:axId val="1294095408"/>
      </c:barChart>
      <c:catAx>
        <c:axId val="14381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095408"/>
        <c:crosses val="autoZero"/>
        <c:auto val="1"/>
        <c:lblAlgn val="ctr"/>
        <c:lblOffset val="100"/>
        <c:noMultiLvlLbl val="0"/>
      </c:catAx>
      <c:valAx>
        <c:axId val="1294095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8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66976592093582"/>
          <c:y val="3.7404532179956387E-2"/>
          <c:w val="0.21042123911381103"/>
          <c:h val="7.7527360704045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Quita en</a:t>
            </a:r>
            <a:r>
              <a:rPr lang="es-AR" baseline="0"/>
              <a:t> base a al tasa requerida</a:t>
            </a:r>
            <a:r>
              <a:rPr lang="es-AR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'Comparación Reestructuración'!$X$2:$X$16</c:f>
              <c:numCache>
                <c:formatCode>0%</c:formatCode>
                <c:ptCount val="1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</c:numCache>
            </c:numRef>
          </c:cat>
          <c:val>
            <c:numRef>
              <c:f>'Comparación Reestructuración'!$Y$2:$Y$16</c:f>
              <c:numCache>
                <c:formatCode>0%</c:formatCode>
                <c:ptCount val="15"/>
                <c:pt idx="0">
                  <c:v>0.28574769562499658</c:v>
                </c:pt>
                <c:pt idx="1">
                  <c:v>0.28912922618563464</c:v>
                </c:pt>
                <c:pt idx="2">
                  <c:v>0.29608902687836003</c:v>
                </c:pt>
                <c:pt idx="3">
                  <c:v>0.30629977488137883</c:v>
                </c:pt>
                <c:pt idx="4">
                  <c:v>0.31937633130524223</c:v>
                </c:pt>
                <c:pt idx="5">
                  <c:v>0.33489916464489078</c:v>
                </c:pt>
                <c:pt idx="6">
                  <c:v>0.35243639514039438</c:v>
                </c:pt>
                <c:pt idx="7">
                  <c:v>0.3715628779455612</c:v>
                </c:pt>
                <c:pt idx="8">
                  <c:v>0.39187539636024904</c:v>
                </c:pt>
                <c:pt idx="9">
                  <c:v>0.41300364997069428</c:v>
                </c:pt>
                <c:pt idx="10">
                  <c:v>0.4346172114989737</c:v>
                </c:pt>
                <c:pt idx="11">
                  <c:v>0.4564289548649616</c:v>
                </c:pt>
                <c:pt idx="12">
                  <c:v>0.47819562954731665</c:v>
                </c:pt>
                <c:pt idx="13">
                  <c:v>0.49971630139832213</c:v>
                </c:pt>
                <c:pt idx="14">
                  <c:v>0.52082933594346359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1-44C8-B3E2-0344CC8F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000640"/>
        <c:axId val="535322336"/>
      </c:lineChart>
      <c:catAx>
        <c:axId val="59000064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322336"/>
        <c:crosses val="autoZero"/>
        <c:auto val="1"/>
        <c:lblAlgn val="ctr"/>
        <c:lblOffset val="100"/>
        <c:noMultiLvlLbl val="0"/>
      </c:catAx>
      <c:valAx>
        <c:axId val="53532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34637</xdr:colOff>
      <xdr:row>0</xdr:row>
      <xdr:rowOff>166255</xdr:rowOff>
    </xdr:from>
    <xdr:to>
      <xdr:col>20</xdr:col>
      <xdr:colOff>114663</xdr:colOff>
      <xdr:row>27</xdr:row>
      <xdr:rowOff>316073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1B950C-6A0D-4CDB-9F87-832FA92D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8146" y="166255"/>
          <a:ext cx="4028571" cy="6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518160</xdr:colOff>
      <xdr:row>11</xdr:row>
      <xdr:rowOff>68580</xdr:rowOff>
    </xdr:from>
    <xdr:to>
      <xdr:col>19</xdr:col>
      <xdr:colOff>38100</xdr:colOff>
      <xdr:row>25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9C46BA-C9D2-4C7F-AFF6-6CBC634BF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508363</xdr:colOff>
      <xdr:row>26</xdr:row>
      <xdr:rowOff>62049</xdr:rowOff>
    </xdr:from>
    <xdr:to>
      <xdr:col>19</xdr:col>
      <xdr:colOff>54428</xdr:colOff>
      <xdr:row>44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8755DC-5013-4477-9336-FC254CA9F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20</xdr:col>
      <xdr:colOff>676213</xdr:colOff>
      <xdr:row>38</xdr:row>
      <xdr:rowOff>56343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8C072D-34E7-4FCD-93CC-81F49EC1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5733333" cy="64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20</xdr:col>
      <xdr:colOff>552404</xdr:colOff>
      <xdr:row>34</xdr:row>
      <xdr:rowOff>102149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6C2C50-4239-41D4-8F76-BDD2AD1FF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5609524" cy="57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750895</xdr:colOff>
      <xdr:row>23</xdr:row>
      <xdr:rowOff>18590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F906B-C649-48C9-A527-D2FB44D59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2638095" cy="3676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3</xdr:row>
      <xdr:rowOff>38100</xdr:rowOff>
    </xdr:from>
    <xdr:to>
      <xdr:col>17</xdr:col>
      <xdr:colOff>143175</xdr:colOff>
      <xdr:row>25</xdr:row>
      <xdr:rowOff>52835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20164-1C7F-4140-8CA7-B3F9F5149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" y="586740"/>
          <a:ext cx="12838095" cy="40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20</xdr:col>
      <xdr:colOff>314308</xdr:colOff>
      <xdr:row>29</xdr:row>
      <xdr:rowOff>92739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6D9FED-2982-4422-B471-A2081E8EF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5371428" cy="48476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491748</xdr:colOff>
      <xdr:row>24</xdr:row>
      <xdr:rowOff>119497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1C93CD-A5D7-42A4-8374-5F1E79D44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365760"/>
          <a:ext cx="13171428" cy="41428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716312</xdr:colOff>
      <xdr:row>28</xdr:row>
      <xdr:rowOff>18476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F6CB2A-8107-43F5-8707-A4A66C48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4980952" cy="4590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20</xdr:col>
      <xdr:colOff>485737</xdr:colOff>
      <xdr:row>31</xdr:row>
      <xdr:rowOff>43192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9F4087-DDC3-4B3A-B95C-406545CA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731520"/>
          <a:ext cx="15542857" cy="4980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167640</xdr:rowOff>
    </xdr:from>
    <xdr:to>
      <xdr:col>20</xdr:col>
      <xdr:colOff>514308</xdr:colOff>
      <xdr:row>30</xdr:row>
      <xdr:rowOff>56524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300F76-05C5-4984-A6BE-001AE4BF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33400"/>
          <a:ext cx="15571428" cy="5009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20</xdr:col>
      <xdr:colOff>361927</xdr:colOff>
      <xdr:row>27</xdr:row>
      <xdr:rowOff>87070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7308F7-BAAF-47FD-ACF2-278FDE1AE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5419047" cy="4476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20</xdr:col>
      <xdr:colOff>552404</xdr:colOff>
      <xdr:row>30</xdr:row>
      <xdr:rowOff>176526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7144E2-E828-4C8B-BCB1-F7DE516F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5609524" cy="51142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20</xdr:col>
      <xdr:colOff>333356</xdr:colOff>
      <xdr:row>30</xdr:row>
      <xdr:rowOff>71764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32DBE4-73C6-48B1-80B3-B0E3C8E2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15390476" cy="50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62a1bb1391375f/Propuesta%20de%20Renegoci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w"/>
      <sheetName val="Cartera Actual"/>
      <sheetName val="Comparativa Bonos Nuevos"/>
      <sheetName val="Comparativa Bonos Viejos"/>
      <sheetName val="Comparativa VM"/>
      <sheetName val="Hoja1"/>
      <sheetName val="AO20 (con Oferta MG)"/>
      <sheetName val="Diccio"/>
      <sheetName val="DICY"/>
      <sheetName val="PARY"/>
      <sheetName val="A2E3"/>
      <sheetName val="A2E2"/>
      <sheetName val="AA21"/>
      <sheetName val="A2E7"/>
      <sheetName val="A2E8"/>
      <sheetName val="AA26"/>
      <sheetName val="AA46"/>
      <sheetName val="AE48"/>
      <sheetName val="AL28"/>
      <sheetName val="AC17"/>
      <sheetName val="AO20"/>
      <sheetName val="AY24"/>
      <sheetName val="Resumen Resultados "/>
      <sheetName val="PBI-1980-2005"/>
      <sheetName val="PBI-2004-2019"/>
      <sheetName val="PBI Precios Corrie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PARY</v>
          </cell>
          <cell r="D3" t="str">
            <v>BN30</v>
          </cell>
        </row>
        <row r="4">
          <cell r="B4" t="str">
            <v>DICY</v>
          </cell>
          <cell r="D4" t="str">
            <v>BN36</v>
          </cell>
        </row>
        <row r="5">
          <cell r="B5" t="str">
            <v>A2E2</v>
          </cell>
          <cell r="D5" t="str">
            <v>BN39</v>
          </cell>
        </row>
        <row r="6">
          <cell r="B6" t="str">
            <v>A2E3</v>
          </cell>
          <cell r="D6" t="str">
            <v>BN43</v>
          </cell>
        </row>
        <row r="7">
          <cell r="B7" t="str">
            <v>AA21</v>
          </cell>
          <cell r="D7" t="str">
            <v>BN47</v>
          </cell>
        </row>
        <row r="8">
          <cell r="B8" t="str">
            <v>A2E7</v>
          </cell>
        </row>
        <row r="9">
          <cell r="B9" t="str">
            <v>A2E8</v>
          </cell>
        </row>
        <row r="10">
          <cell r="B10" t="str">
            <v>AA26</v>
          </cell>
        </row>
        <row r="11">
          <cell r="B11" t="str">
            <v>AA46</v>
          </cell>
        </row>
        <row r="12">
          <cell r="B12" t="str">
            <v>AE48</v>
          </cell>
        </row>
        <row r="13">
          <cell r="B13" t="str">
            <v>AL28</v>
          </cell>
        </row>
        <row r="14">
          <cell r="B14" t="str">
            <v>AC17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bolsar.com/Vistas/Investigaciones/FichaTecnicaEspecie.aspx?Id=12922&amp;UrlVolver=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bolsar.com/Vistas/Investigaciones/FichaTecnicaEspecie.aspx?Id=12919&amp;UrlVolver=https://www.bolsar.com/Vistas/Investigaciones/FichaTecnicaEspecie.aspx?Id=12922&amp;UrlVolver=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bolsar.com/Vistas/Investigaciones/FichaTecnicaEspecie.aspx?Id=712881&amp;UrlVolver=https://www.bolsar.com/VistasDL/PaginaIntradiarioEspecies.aspx?Especie=A2E3D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bolsar.com/Vistas/Investigaciones/FichaTecnicaEspecie.aspx?Id=630847&amp;UrlVolver=https://www.bolsar.com/Vistas/Investigaciones/FichaTecnicaEspecie.aspx?Id=712881&amp;UrlVolver=https://www.bolsar.com/VistasDL/PaginaIntradiarioEspecies.aspx?Especie=A2E3D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bolsar.com/Vistas/Investigaciones/FichaTecnicaEspecie.aspx?Id=630849&amp;UrlVolver=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bolsar.com/Vistas/Investigaciones/FichaTecnicaEspecie.aspx?Id=630861&amp;UrlVolver=https://www.bolsar.com/Vistas/Investigaciones/FichaTecnicaEspecie.aspx?Id=630849&amp;UrlVolver=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bolsar.com/Vistas/Investigaciones/FichaTecnicaEspecie.aspx?Id=712897&amp;UrlVolver=https://www.bolsar.com/Vistas/Investigaciones/FichaTecnicaEspecie.aspx?Id=651296&amp;UrlVolver=https://www.bolsar.com/VistasDL/PaginaTitulosPublicos.asp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bolsar.com/Vistas/Investigaciones/FichaTecnicaEspecie.aspx?Id=651296&amp;UrlVolver=https://www.bolsar.com/VistasDL/PaginaTitulosPublicos.aspx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2A77-A77C-4728-9665-724176DC91FF}">
  <sheetPr>
    <outlinePr summaryBelow="0"/>
  </sheetPr>
  <dimension ref="B1:N28"/>
  <sheetViews>
    <sheetView showGridLines="0" zoomScale="110" zoomScaleNormal="110" workbookViewId="0">
      <selection activeCell="M15" sqref="M15"/>
    </sheetView>
  </sheetViews>
  <sheetFormatPr baseColWidth="10" defaultRowHeight="26.4" customHeight="1" outlineLevelRow="1" outlineLevelCol="1"/>
  <cols>
    <col min="1" max="1" width="11.5546875" style="154"/>
    <col min="2" max="2" width="30.44140625" style="154" customWidth="1"/>
    <col min="3" max="4" width="13.33203125" style="175" hidden="1" customWidth="1" outlineLevel="1"/>
    <col min="5" max="5" width="13.33203125" style="155" customWidth="1" collapsed="1"/>
    <col min="6" max="7" width="13.33203125" style="155" customWidth="1"/>
    <col min="8" max="8" width="13.33203125" style="178" customWidth="1"/>
    <col min="9" max="9" width="11.5546875" style="154"/>
    <col min="10" max="10" width="13.33203125" style="154" customWidth="1"/>
    <col min="11" max="12" width="11.5546875" style="154"/>
    <col min="13" max="14" width="11.5546875" style="174"/>
    <col min="15" max="16384" width="11.5546875" style="154"/>
  </cols>
  <sheetData>
    <row r="1" spans="2:14" ht="26.4" customHeight="1">
      <c r="J1" s="174">
        <v>40.1</v>
      </c>
      <c r="M1" s="174">
        <v>90</v>
      </c>
      <c r="N1" s="174">
        <v>100</v>
      </c>
    </row>
    <row r="2" spans="2:14" s="187" customFormat="1" ht="26.4" customHeight="1">
      <c r="C2" s="188" t="s">
        <v>276</v>
      </c>
      <c r="D2" s="188" t="s">
        <v>277</v>
      </c>
      <c r="E2" s="188" t="s">
        <v>276</v>
      </c>
      <c r="F2" s="188" t="s">
        <v>277</v>
      </c>
      <c r="G2" s="189" t="s">
        <v>14</v>
      </c>
      <c r="H2" s="190" t="s">
        <v>14</v>
      </c>
      <c r="J2" s="191" t="s">
        <v>276</v>
      </c>
      <c r="M2" s="191" t="s">
        <v>291</v>
      </c>
      <c r="N2" s="191" t="s">
        <v>292</v>
      </c>
    </row>
    <row r="3" spans="2:14" ht="26.4" customHeight="1">
      <c r="B3" s="152" t="s">
        <v>275</v>
      </c>
      <c r="C3" s="176" t="s">
        <v>265</v>
      </c>
      <c r="D3" s="176" t="s">
        <v>265</v>
      </c>
      <c r="E3" s="192" t="s">
        <v>280</v>
      </c>
      <c r="F3" s="192" t="s">
        <v>280</v>
      </c>
      <c r="G3" s="192" t="s">
        <v>280</v>
      </c>
      <c r="H3" s="193" t="s">
        <v>279</v>
      </c>
      <c r="I3" s="169"/>
      <c r="J3" s="194" t="s">
        <v>281</v>
      </c>
      <c r="M3" s="194" t="s">
        <v>281</v>
      </c>
      <c r="N3" s="194" t="s">
        <v>281</v>
      </c>
    </row>
    <row r="4" spans="2:14" ht="26.4" customHeight="1" collapsed="1">
      <c r="B4" s="154" t="s">
        <v>264</v>
      </c>
      <c r="C4" s="182">
        <v>3721621</v>
      </c>
      <c r="D4" s="182">
        <v>3937073.5</v>
      </c>
      <c r="E4" s="182">
        <f>+C4/1000</f>
        <v>3721.6210000000001</v>
      </c>
      <c r="F4" s="182">
        <f t="shared" ref="F4:F16" si="0">+D4/1000</f>
        <v>3937.0735</v>
      </c>
      <c r="G4" s="182">
        <f>+F4-E4</f>
        <v>215.45249999999987</v>
      </c>
      <c r="H4" s="178">
        <f t="shared" ref="H4:H16" si="1">+D4/C4-1</f>
        <v>5.789211206622058E-2</v>
      </c>
      <c r="J4" s="155">
        <f t="shared" ref="J4:J13" si="2">+E4/$J$1</f>
        <v>92.808503740648376</v>
      </c>
      <c r="M4" s="155">
        <f>6941/M1</f>
        <v>77.12222222222222</v>
      </c>
      <c r="N4" s="155">
        <f>2677/N1</f>
        <v>26.77</v>
      </c>
    </row>
    <row r="5" spans="2:14" s="162" customFormat="1" ht="26.4" hidden="1" customHeight="1" outlineLevel="1">
      <c r="B5" s="159" t="s">
        <v>278</v>
      </c>
      <c r="C5" s="183">
        <v>3342855</v>
      </c>
      <c r="D5" s="183">
        <v>3433745.5</v>
      </c>
      <c r="E5" s="183">
        <f t="shared" ref="E5:E16" si="3">+C5/1000</f>
        <v>3342.855</v>
      </c>
      <c r="F5" s="183">
        <f t="shared" si="0"/>
        <v>3433.7455</v>
      </c>
      <c r="G5" s="183">
        <f t="shared" ref="G5:G16" si="4">+F5-E5</f>
        <v>90.890499999999975</v>
      </c>
      <c r="H5" s="179">
        <f t="shared" si="1"/>
        <v>2.7189483241121692E-2</v>
      </c>
      <c r="J5" s="160">
        <f t="shared" si="2"/>
        <v>83.362967581047386</v>
      </c>
      <c r="M5" s="206"/>
      <c r="N5" s="206"/>
    </row>
    <row r="6" spans="2:14" s="162" customFormat="1" ht="26.4" hidden="1" customHeight="1" outlineLevel="1">
      <c r="B6" s="159" t="s">
        <v>249</v>
      </c>
      <c r="C6" s="183">
        <f>+C4-C5</f>
        <v>378766</v>
      </c>
      <c r="D6" s="183">
        <f>+D4-D5</f>
        <v>503328</v>
      </c>
      <c r="E6" s="183">
        <f t="shared" si="3"/>
        <v>378.76600000000002</v>
      </c>
      <c r="F6" s="183">
        <f t="shared" si="0"/>
        <v>503.32799999999997</v>
      </c>
      <c r="G6" s="183">
        <f t="shared" si="4"/>
        <v>124.56199999999995</v>
      </c>
      <c r="H6" s="179">
        <f t="shared" si="1"/>
        <v>0.32886267510811429</v>
      </c>
      <c r="J6" s="160">
        <f t="shared" si="2"/>
        <v>9.4455361596009979</v>
      </c>
      <c r="M6" s="206"/>
      <c r="N6" s="206"/>
    </row>
    <row r="7" spans="2:14" ht="26.4" customHeight="1" collapsed="1">
      <c r="B7" s="154" t="s">
        <v>266</v>
      </c>
      <c r="C7" s="182">
        <f>+SUM(C8:C12)</f>
        <v>-3506228</v>
      </c>
      <c r="D7" s="182">
        <f>+SUM(D8:D12)</f>
        <v>-3795833.5</v>
      </c>
      <c r="E7" s="182">
        <f t="shared" si="3"/>
        <v>-3506.2280000000001</v>
      </c>
      <c r="F7" s="182">
        <f t="shared" si="0"/>
        <v>-3795.8335000000002</v>
      </c>
      <c r="G7" s="182">
        <f t="shared" si="4"/>
        <v>-289.60550000000012</v>
      </c>
      <c r="H7" s="185">
        <f t="shared" si="1"/>
        <v>8.2597452304870034E-2</v>
      </c>
      <c r="J7" s="155">
        <f t="shared" si="2"/>
        <v>-87.437107231920194</v>
      </c>
      <c r="M7" s="155">
        <f>-7552/M1</f>
        <v>-83.911111111111111</v>
      </c>
      <c r="N7" s="155">
        <f>-2842/N1</f>
        <v>-28.42</v>
      </c>
    </row>
    <row r="8" spans="2:14" s="162" customFormat="1" ht="26.4" hidden="1" customHeight="1" outlineLevel="1">
      <c r="B8" s="159" t="s">
        <v>267</v>
      </c>
      <c r="C8" s="183">
        <v>-2264266</v>
      </c>
      <c r="D8" s="183">
        <v>-2438300.2000000002</v>
      </c>
      <c r="E8" s="183">
        <f t="shared" si="3"/>
        <v>-2264.2660000000001</v>
      </c>
      <c r="F8" s="183">
        <f t="shared" si="0"/>
        <v>-2438.3002000000001</v>
      </c>
      <c r="G8" s="183">
        <f t="shared" si="4"/>
        <v>-174.03420000000006</v>
      </c>
      <c r="H8" s="186">
        <f t="shared" si="1"/>
        <v>7.6861199170062289E-2</v>
      </c>
      <c r="J8" s="160">
        <f t="shared" si="2"/>
        <v>-56.465486284289277</v>
      </c>
      <c r="M8" s="206"/>
      <c r="N8" s="206"/>
    </row>
    <row r="9" spans="2:14" s="162" customFormat="1" ht="26.4" hidden="1" customHeight="1" outlineLevel="1">
      <c r="B9" s="159" t="s">
        <v>268</v>
      </c>
      <c r="C9" s="183">
        <v>-287302</v>
      </c>
      <c r="D9" s="183">
        <v>-338408.5</v>
      </c>
      <c r="E9" s="183">
        <f t="shared" si="3"/>
        <v>-287.30200000000002</v>
      </c>
      <c r="F9" s="183">
        <f t="shared" si="0"/>
        <v>-338.4085</v>
      </c>
      <c r="G9" s="183">
        <f t="shared" si="4"/>
        <v>-51.106499999999983</v>
      </c>
      <c r="H9" s="186">
        <f t="shared" si="1"/>
        <v>0.17788424723809793</v>
      </c>
      <c r="J9" s="160">
        <f t="shared" si="2"/>
        <v>-7.1646384039900255</v>
      </c>
      <c r="M9" s="206"/>
      <c r="N9" s="206"/>
    </row>
    <row r="10" spans="2:14" s="162" customFormat="1" ht="26.4" hidden="1" customHeight="1" outlineLevel="1">
      <c r="B10" s="159" t="s">
        <v>269</v>
      </c>
      <c r="C10" s="183">
        <v>-677616</v>
      </c>
      <c r="D10" s="183">
        <v>-705733.4</v>
      </c>
      <c r="E10" s="183">
        <f t="shared" si="3"/>
        <v>-677.61599999999999</v>
      </c>
      <c r="F10" s="183">
        <f t="shared" si="0"/>
        <v>-705.73340000000007</v>
      </c>
      <c r="G10" s="183">
        <f t="shared" si="4"/>
        <v>-28.117400000000089</v>
      </c>
      <c r="H10" s="186">
        <f t="shared" si="1"/>
        <v>4.1494592807725938E-2</v>
      </c>
      <c r="J10" s="160">
        <f t="shared" si="2"/>
        <v>-16.898154613466332</v>
      </c>
      <c r="M10" s="206"/>
      <c r="N10" s="206"/>
    </row>
    <row r="11" spans="2:14" s="162" customFormat="1" ht="26.4" hidden="1" customHeight="1" outlineLevel="1">
      <c r="B11" s="159" t="s">
        <v>270</v>
      </c>
      <c r="C11" s="183">
        <v>-81633</v>
      </c>
      <c r="D11" s="183">
        <v>-127831.5</v>
      </c>
      <c r="E11" s="183">
        <f t="shared" si="3"/>
        <v>-81.632999999999996</v>
      </c>
      <c r="F11" s="183">
        <f t="shared" si="0"/>
        <v>-127.83150000000001</v>
      </c>
      <c r="G11" s="183">
        <f t="shared" si="4"/>
        <v>-46.19850000000001</v>
      </c>
      <c r="H11" s="186">
        <f t="shared" si="1"/>
        <v>0.5659292198008159</v>
      </c>
      <c r="J11" s="160">
        <f t="shared" si="2"/>
        <v>-2.0357356608478803</v>
      </c>
      <c r="M11" s="206"/>
      <c r="N11" s="206"/>
    </row>
    <row r="12" spans="2:14" s="162" customFormat="1" ht="26.4" hidden="1" customHeight="1" outlineLevel="1">
      <c r="B12" s="159" t="s">
        <v>249</v>
      </c>
      <c r="C12" s="183">
        <v>-195411</v>
      </c>
      <c r="D12" s="183">
        <v>-185559.9</v>
      </c>
      <c r="E12" s="183">
        <f t="shared" si="3"/>
        <v>-195.411</v>
      </c>
      <c r="F12" s="183">
        <f t="shared" si="0"/>
        <v>-185.5599</v>
      </c>
      <c r="G12" s="183">
        <f t="shared" si="4"/>
        <v>9.8511000000000024</v>
      </c>
      <c r="H12" s="186">
        <f t="shared" si="1"/>
        <v>-5.0412208115203416E-2</v>
      </c>
      <c r="J12" s="160">
        <f t="shared" si="2"/>
        <v>-4.8730922693266834</v>
      </c>
      <c r="M12" s="206"/>
      <c r="N12" s="206"/>
    </row>
    <row r="13" spans="2:14" ht="26.4" customHeight="1">
      <c r="B13" s="154" t="s">
        <v>271</v>
      </c>
      <c r="C13" s="182">
        <v>-215033</v>
      </c>
      <c r="D13" s="182">
        <v>-236361.60000000001</v>
      </c>
      <c r="E13" s="182">
        <f t="shared" si="3"/>
        <v>-215.03299999999999</v>
      </c>
      <c r="F13" s="182">
        <f t="shared" si="0"/>
        <v>-236.36160000000001</v>
      </c>
      <c r="G13" s="182">
        <f t="shared" si="4"/>
        <v>-21.328600000000023</v>
      </c>
      <c r="H13" s="185">
        <f t="shared" si="1"/>
        <v>9.918756655955141E-2</v>
      </c>
      <c r="J13" s="155">
        <f t="shared" si="2"/>
        <v>-5.3624189526184534</v>
      </c>
      <c r="M13" s="155">
        <f>-843/M1</f>
        <v>-9.3666666666666671</v>
      </c>
      <c r="N13" s="155">
        <f>-230/N1</f>
        <v>-2.2999999999999998</v>
      </c>
    </row>
    <row r="14" spans="2:14" ht="26.4" customHeight="1">
      <c r="B14" s="166" t="s">
        <v>272</v>
      </c>
      <c r="C14" s="184">
        <f>+C13+C7+C4</f>
        <v>360</v>
      </c>
      <c r="D14" s="184">
        <f>+D13+D7+D4</f>
        <v>-95121.600000000093</v>
      </c>
      <c r="E14" s="184">
        <f t="shared" si="3"/>
        <v>0.36</v>
      </c>
      <c r="F14" s="184">
        <f t="shared" si="0"/>
        <v>-95.121600000000086</v>
      </c>
      <c r="G14" s="184">
        <f t="shared" si="4"/>
        <v>-95.481600000000086</v>
      </c>
      <c r="H14" s="180">
        <f t="shared" si="1"/>
        <v>-265.22666666666692</v>
      </c>
      <c r="J14" s="200">
        <f>+J13+J7+J4</f>
        <v>8.9775561097269474E-3</v>
      </c>
      <c r="M14" s="200">
        <f>+M13+M7+M4</f>
        <v>-16.155555555555551</v>
      </c>
      <c r="N14" s="200">
        <f>+N13+N7+N4</f>
        <v>-3.9500000000000028</v>
      </c>
    </row>
    <row r="15" spans="2:14" ht="26.4" customHeight="1">
      <c r="B15" s="154" t="s">
        <v>273</v>
      </c>
      <c r="C15" s="182">
        <v>-596065</v>
      </c>
      <c r="D15" s="182">
        <v>-724285.29999999993</v>
      </c>
      <c r="E15" s="182">
        <f t="shared" si="3"/>
        <v>-596.06500000000005</v>
      </c>
      <c r="F15" s="182">
        <f t="shared" si="0"/>
        <v>-724.28529999999989</v>
      </c>
      <c r="G15" s="182">
        <f t="shared" si="4"/>
        <v>-128.22029999999984</v>
      </c>
      <c r="H15" s="185">
        <f t="shared" si="1"/>
        <v>0.21511127142174069</v>
      </c>
      <c r="J15" s="155">
        <f>+E15/$J$1</f>
        <v>-14.864463840399003</v>
      </c>
      <c r="M15" s="155"/>
      <c r="N15" s="155"/>
    </row>
    <row r="16" spans="2:14" ht="26.4" customHeight="1">
      <c r="B16" s="166" t="s">
        <v>274</v>
      </c>
      <c r="C16" s="184">
        <f>+C15+C14</f>
        <v>-595705</v>
      </c>
      <c r="D16" s="184">
        <f>+D15+D14</f>
        <v>-819406.9</v>
      </c>
      <c r="E16" s="184">
        <f t="shared" si="3"/>
        <v>-595.70500000000004</v>
      </c>
      <c r="F16" s="184">
        <f t="shared" si="0"/>
        <v>-819.40690000000006</v>
      </c>
      <c r="G16" s="184">
        <f t="shared" si="4"/>
        <v>-223.70190000000002</v>
      </c>
      <c r="H16" s="180">
        <f t="shared" si="1"/>
        <v>0.37552463047985163</v>
      </c>
      <c r="J16" s="167">
        <f>+J15+J14</f>
        <v>-14.855486284289276</v>
      </c>
      <c r="M16" s="167">
        <f>-2424/M1</f>
        <v>-26.933333333333334</v>
      </c>
      <c r="N16" s="167">
        <f>-395/N1</f>
        <v>-3.95</v>
      </c>
    </row>
    <row r="18" spans="2:14" ht="26.4" customHeight="1">
      <c r="B18" s="154" t="s">
        <v>282</v>
      </c>
      <c r="J18" s="155">
        <f>+'Cartera Actual'!C9</f>
        <v>323.06461825805849</v>
      </c>
      <c r="K18" s="154">
        <f>+J18*0.02333</f>
        <v>7.5370975439605044</v>
      </c>
      <c r="L18" s="154">
        <f>+K18*100</f>
        <v>753.70975439605047</v>
      </c>
    </row>
    <row r="19" spans="2:14" s="169" customFormat="1" ht="26.4" customHeight="1">
      <c r="B19" s="199" t="s">
        <v>283</v>
      </c>
      <c r="C19" s="195"/>
      <c r="D19" s="195"/>
      <c r="E19" s="196"/>
      <c r="F19" s="196"/>
      <c r="G19" s="196"/>
      <c r="H19" s="197"/>
      <c r="J19" s="198">
        <f>+J18/J4</f>
        <v>3.4809807855631041</v>
      </c>
      <c r="M19" s="207"/>
      <c r="N19" s="207"/>
    </row>
    <row r="20" spans="2:14" s="169" customFormat="1" ht="26.4" customHeight="1">
      <c r="B20" s="199" t="s">
        <v>284</v>
      </c>
      <c r="C20" s="195"/>
      <c r="D20" s="195"/>
      <c r="E20" s="196"/>
      <c r="F20" s="196"/>
      <c r="G20" s="196"/>
      <c r="H20" s="197"/>
      <c r="J20" s="198" t="s">
        <v>285</v>
      </c>
      <c r="M20" s="174">
        <f>+M16/M4</f>
        <v>-0.34922921769197524</v>
      </c>
      <c r="N20" s="174"/>
    </row>
    <row r="21" spans="2:14" ht="26.4" customHeight="1">
      <c r="C21" s="177"/>
      <c r="D21" s="177"/>
      <c r="E21" s="154"/>
      <c r="F21" s="154"/>
      <c r="G21" s="154"/>
      <c r="H21" s="181"/>
    </row>
    <row r="22" spans="2:14" ht="26.4" customHeight="1">
      <c r="C22" s="177"/>
      <c r="D22" s="177"/>
      <c r="E22" s="154"/>
      <c r="F22" s="154"/>
      <c r="G22" s="154"/>
      <c r="H22" s="181"/>
    </row>
    <row r="23" spans="2:14" ht="26.4" customHeight="1">
      <c r="C23" s="177"/>
      <c r="D23" s="177"/>
      <c r="E23" s="154"/>
      <c r="F23" s="154"/>
      <c r="G23" s="154"/>
      <c r="H23" s="181"/>
    </row>
    <row r="24" spans="2:14" ht="26.4" customHeight="1">
      <c r="C24" s="177"/>
      <c r="D24" s="177"/>
      <c r="E24" s="154"/>
      <c r="F24" s="154"/>
      <c r="G24" s="154"/>
      <c r="H24" s="181"/>
    </row>
    <row r="25" spans="2:14" ht="26.4" customHeight="1">
      <c r="C25" s="177"/>
      <c r="D25" s="177"/>
      <c r="E25" s="154"/>
      <c r="F25" s="154"/>
      <c r="G25" s="154"/>
      <c r="H25" s="181"/>
    </row>
    <row r="26" spans="2:14" ht="26.4" customHeight="1">
      <c r="C26" s="177"/>
      <c r="D26" s="177"/>
      <c r="E26" s="154"/>
      <c r="F26" s="154"/>
      <c r="G26" s="154"/>
      <c r="H26" s="181"/>
    </row>
    <row r="27" spans="2:14" ht="26.4" customHeight="1">
      <c r="C27" s="177"/>
      <c r="D27" s="177"/>
      <c r="E27" s="154"/>
      <c r="F27" s="154"/>
      <c r="G27" s="154"/>
      <c r="H27" s="181"/>
    </row>
    <row r="28" spans="2:14" ht="26.4" customHeight="1">
      <c r="C28" s="177"/>
      <c r="D28" s="177"/>
      <c r="E28" s="154"/>
      <c r="F28" s="154"/>
      <c r="G28" s="154"/>
      <c r="H28" s="181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DE62-E034-4B52-B763-DEBD2F98F6AF}">
  <dimension ref="B2:N27"/>
  <sheetViews>
    <sheetView showGridLines="0" zoomScale="110" zoomScaleNormal="110" workbookViewId="0">
      <selection activeCell="C9" sqref="C9"/>
    </sheetView>
  </sheetViews>
  <sheetFormatPr baseColWidth="10" defaultRowHeight="26.4" customHeight="1" outlineLevelCol="1"/>
  <cols>
    <col min="1" max="1" width="11.5546875" style="154"/>
    <col min="2" max="2" width="27.5546875" style="154" bestFit="1" customWidth="1"/>
    <col min="3" max="3" width="13.33203125" style="155" customWidth="1"/>
    <col min="4" max="4" width="14.5546875" style="156" bestFit="1" customWidth="1"/>
    <col min="5" max="5" width="13.33203125" style="154" customWidth="1"/>
    <col min="6" max="9" width="11.5546875" style="154"/>
    <col min="10" max="10" width="20.21875" style="154" bestFit="1" customWidth="1"/>
    <col min="11" max="11" width="13.109375" style="154" bestFit="1" customWidth="1"/>
    <col min="12" max="12" width="13.109375" style="154" customWidth="1"/>
    <col min="13" max="13" width="12.88671875" style="154" hidden="1" customWidth="1" outlineLevel="1"/>
    <col min="14" max="14" width="11.5546875" style="154" collapsed="1"/>
    <col min="15" max="16384" width="11.5546875" style="154"/>
  </cols>
  <sheetData>
    <row r="2" spans="2:13" ht="26.4" customHeight="1">
      <c r="B2" s="152" t="s">
        <v>231</v>
      </c>
      <c r="C2" s="153" t="s">
        <v>281</v>
      </c>
      <c r="D2" s="153" t="s">
        <v>233</v>
      </c>
      <c r="J2" s="152" t="s">
        <v>234</v>
      </c>
      <c r="K2" s="153" t="s">
        <v>235</v>
      </c>
      <c r="L2" s="153" t="s">
        <v>281</v>
      </c>
      <c r="M2" s="153" t="s">
        <v>232</v>
      </c>
    </row>
    <row r="3" spans="2:13" ht="26.4" customHeight="1">
      <c r="B3" s="154" t="s">
        <v>236</v>
      </c>
      <c r="C3" s="155">
        <v>225.44452451597087</v>
      </c>
      <c r="D3" s="156">
        <f>+C3/$C$9</f>
        <v>0.69783105847849192</v>
      </c>
      <c r="J3" s="154" t="s">
        <v>237</v>
      </c>
      <c r="K3" s="157" t="s">
        <v>238</v>
      </c>
      <c r="L3" s="202">
        <f>+M3/1000000</f>
        <v>3.9694300269999996</v>
      </c>
      <c r="M3" s="158">
        <v>3969430.0269999998</v>
      </c>
    </row>
    <row r="4" spans="2:13" s="162" customFormat="1" ht="26.4" customHeight="1">
      <c r="B4" s="159" t="s">
        <v>239</v>
      </c>
      <c r="C4" s="160">
        <v>158.94187852583897</v>
      </c>
      <c r="D4" s="161">
        <f t="shared" ref="D4:D9" si="0">+C4/$C$9</f>
        <v>0.49198169512601631</v>
      </c>
      <c r="J4" s="154" t="s">
        <v>240</v>
      </c>
      <c r="K4" s="157" t="s">
        <v>238</v>
      </c>
      <c r="L4" s="202">
        <f t="shared" ref="L4:L14" si="1">+M4/1000000</f>
        <v>4.7052622856182049</v>
      </c>
      <c r="M4" s="158">
        <v>4705262.2856182046</v>
      </c>
    </row>
    <row r="5" spans="2:13" s="162" customFormat="1" ht="26.4" customHeight="1">
      <c r="B5" s="163" t="s">
        <v>241</v>
      </c>
      <c r="C5" s="164">
        <v>66.502645990131811</v>
      </c>
      <c r="D5" s="165">
        <f t="shared" si="0"/>
        <v>0.20584936335247531</v>
      </c>
      <c r="F5" s="162" t="s">
        <v>242</v>
      </c>
      <c r="J5" s="154" t="s">
        <v>243</v>
      </c>
      <c r="K5" s="157" t="s">
        <v>238</v>
      </c>
      <c r="L5" s="202">
        <f t="shared" si="1"/>
        <v>5.3936283739999995</v>
      </c>
      <c r="M5" s="158">
        <v>5393628.3739999998</v>
      </c>
    </row>
    <row r="6" spans="2:13" ht="26.4" customHeight="1">
      <c r="B6" s="154" t="s">
        <v>244</v>
      </c>
      <c r="C6" s="155">
        <v>11.186743467735205</v>
      </c>
      <c r="D6" s="156">
        <f t="shared" si="0"/>
        <v>3.4626953357050773E-2</v>
      </c>
      <c r="J6" s="154" t="s">
        <v>245</v>
      </c>
      <c r="K6" s="157" t="s">
        <v>238</v>
      </c>
      <c r="L6" s="202">
        <f t="shared" si="1"/>
        <v>7.2561630960654631</v>
      </c>
      <c r="M6" s="158">
        <v>7256163.0960654635</v>
      </c>
    </row>
    <row r="7" spans="2:13" ht="26.4" customHeight="1">
      <c r="B7" s="154" t="s">
        <v>246</v>
      </c>
      <c r="C7" s="155">
        <v>68.000788456716705</v>
      </c>
      <c r="D7" s="156">
        <f t="shared" si="0"/>
        <v>0.21048664760434657</v>
      </c>
      <c r="J7" s="154" t="s">
        <v>247</v>
      </c>
      <c r="K7" s="157" t="s">
        <v>248</v>
      </c>
      <c r="L7" s="202">
        <f t="shared" si="1"/>
        <v>9.5</v>
      </c>
      <c r="M7" s="158">
        <v>9500000</v>
      </c>
    </row>
    <row r="8" spans="2:13" ht="26.4" customHeight="1">
      <c r="B8" s="154" t="s">
        <v>249</v>
      </c>
      <c r="C8" s="155">
        <v>18.432561817635811</v>
      </c>
      <c r="D8" s="156">
        <f t="shared" si="0"/>
        <v>5.7055340560111092E-2</v>
      </c>
      <c r="J8" s="154" t="s">
        <v>250</v>
      </c>
      <c r="K8" s="157" t="s">
        <v>251</v>
      </c>
      <c r="L8" s="202">
        <f t="shared" si="1"/>
        <v>2.5221387736800809</v>
      </c>
      <c r="M8" s="158">
        <v>2522138.7736800807</v>
      </c>
    </row>
    <row r="9" spans="2:13" ht="26.4" customHeight="1">
      <c r="B9" s="166" t="s">
        <v>252</v>
      </c>
      <c r="C9" s="167">
        <v>323.06461825805849</v>
      </c>
      <c r="D9" s="156">
        <f t="shared" si="0"/>
        <v>1</v>
      </c>
      <c r="F9" s="154">
        <f>+C9*0.0233</f>
        <v>7.5274056054127634</v>
      </c>
      <c r="J9" s="154" t="s">
        <v>253</v>
      </c>
      <c r="K9" s="168">
        <v>2017</v>
      </c>
      <c r="L9" s="203">
        <f t="shared" si="1"/>
        <v>0.41330853482124408</v>
      </c>
      <c r="M9" s="158">
        <v>413308.53482124407</v>
      </c>
    </row>
    <row r="10" spans="2:13" s="169" customFormat="1" ht="26.4" customHeight="1">
      <c r="B10" s="169" t="s">
        <v>254</v>
      </c>
      <c r="C10" s="170">
        <f>+C9-C8-C7-C6-C3</f>
        <v>0</v>
      </c>
      <c r="D10" s="156"/>
      <c r="J10" s="154" t="s">
        <v>255</v>
      </c>
      <c r="K10" s="157" t="s">
        <v>248</v>
      </c>
      <c r="L10" s="202">
        <f t="shared" si="1"/>
        <v>17.25</v>
      </c>
      <c r="M10" s="158">
        <v>17250000</v>
      </c>
    </row>
    <row r="11" spans="2:13" ht="26.4" customHeight="1">
      <c r="J11" s="154" t="s">
        <v>256</v>
      </c>
      <c r="K11" s="157" t="s">
        <v>251</v>
      </c>
      <c r="L11" s="202">
        <f t="shared" si="1"/>
        <v>2.5221387736800809</v>
      </c>
      <c r="M11" s="158">
        <v>2522138.7736800807</v>
      </c>
    </row>
    <row r="12" spans="2:13" ht="26.4" customHeight="1">
      <c r="B12" s="154" t="s">
        <v>287</v>
      </c>
      <c r="C12" s="204">
        <f>+'Notas Resultados Macro'!G23/1000</f>
        <v>394.62534344699151</v>
      </c>
      <c r="D12" s="154"/>
      <c r="J12" s="154" t="s">
        <v>257</v>
      </c>
      <c r="K12" s="168">
        <v>2017</v>
      </c>
      <c r="L12" s="203">
        <f t="shared" si="1"/>
        <v>2.75</v>
      </c>
      <c r="M12" s="158">
        <v>2750000</v>
      </c>
    </row>
    <row r="13" spans="2:13" ht="26.4" customHeight="1">
      <c r="B13" s="169" t="s">
        <v>288</v>
      </c>
      <c r="C13" s="156">
        <f>+C9/C12</f>
        <v>0.81866160808664457</v>
      </c>
      <c r="D13" s="154"/>
      <c r="J13" s="154" t="s">
        <v>258</v>
      </c>
      <c r="K13" s="157" t="s">
        <v>259</v>
      </c>
      <c r="L13" s="202">
        <f t="shared" si="1"/>
        <v>5.75</v>
      </c>
      <c r="M13" s="158">
        <v>5750000</v>
      </c>
    </row>
    <row r="14" spans="2:13" ht="26.4" customHeight="1">
      <c r="J14" s="154" t="s">
        <v>260</v>
      </c>
      <c r="K14" s="168">
        <v>2017</v>
      </c>
      <c r="L14" s="203">
        <f t="shared" si="1"/>
        <v>0.84071292456002689</v>
      </c>
      <c r="M14" s="158">
        <v>840712.92456002685</v>
      </c>
    </row>
    <row r="15" spans="2:13" ht="26.4" customHeight="1">
      <c r="L15" s="203"/>
      <c r="M15" s="158">
        <f>+C5*1000000-M21</f>
        <v>3629863.2007067129</v>
      </c>
    </row>
    <row r="16" spans="2:13" ht="26.4" customHeight="1">
      <c r="J16" s="166" t="s">
        <v>1</v>
      </c>
      <c r="K16" s="167"/>
      <c r="L16" s="201">
        <f>+SUM(L3:L15)</f>
        <v>62.872782789425109</v>
      </c>
      <c r="M16" s="171">
        <f>+SUM(M3:M15)</f>
        <v>66502645.99013181</v>
      </c>
    </row>
    <row r="17" spans="3:13" ht="26.4" customHeight="1">
      <c r="C17" s="154"/>
      <c r="D17" s="154"/>
    </row>
    <row r="18" spans="3:13" ht="26.4" customHeight="1">
      <c r="C18" s="154"/>
      <c r="D18" s="154"/>
    </row>
    <row r="19" spans="3:13" ht="26.4" customHeight="1">
      <c r="C19" s="154"/>
      <c r="D19" s="154"/>
    </row>
    <row r="20" spans="3:13" ht="26.4" customHeight="1">
      <c r="C20" s="154"/>
      <c r="D20" s="154"/>
    </row>
    <row r="21" spans="3:13" ht="26.4" customHeight="1">
      <c r="C21" s="154"/>
      <c r="D21" s="154"/>
      <c r="J21" s="154" t="s">
        <v>286</v>
      </c>
      <c r="M21" s="171">
        <f>+SUM(M3:M14)</f>
        <v>62872782.789425097</v>
      </c>
    </row>
    <row r="22" spans="3:13" ht="26.4" customHeight="1">
      <c r="C22" s="154"/>
      <c r="D22" s="154"/>
    </row>
    <row r="23" spans="3:13" ht="26.4" customHeight="1">
      <c r="C23" s="154"/>
      <c r="D23" s="154"/>
    </row>
    <row r="24" spans="3:13" ht="26.4" customHeight="1">
      <c r="C24" s="154"/>
      <c r="D24" s="154"/>
    </row>
    <row r="25" spans="3:13" ht="26.4" customHeight="1">
      <c r="C25" s="154"/>
      <c r="D25" s="154"/>
    </row>
    <row r="26" spans="3:13" ht="26.4" customHeight="1">
      <c r="D26" s="172"/>
    </row>
    <row r="27" spans="3:13" ht="26.4" customHeight="1">
      <c r="D27" s="172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0C98-ACE4-4A5F-958D-70899A86072A}">
  <sheetPr>
    <tabColor rgb="FFFF0000"/>
  </sheetPr>
  <dimension ref="B1:Y36"/>
  <sheetViews>
    <sheetView showGridLines="0" tabSelected="1" zoomScale="90" zoomScaleNormal="90" workbookViewId="0">
      <selection activeCell="I13" sqref="I13:I25"/>
    </sheetView>
  </sheetViews>
  <sheetFormatPr baseColWidth="10" defaultColWidth="11.5546875" defaultRowHeight="15"/>
  <cols>
    <col min="1" max="1" width="3.21875" style="125" customWidth="1"/>
    <col min="2" max="2" width="15.33203125" style="125" bestFit="1" customWidth="1"/>
    <col min="3" max="5" width="11.5546875" style="125"/>
    <col min="6" max="6" width="11.5546875" style="126"/>
    <col min="7" max="8" width="11.5546875" style="125"/>
    <col min="9" max="9" width="11.5546875" style="126"/>
    <col min="10" max="10" width="9.33203125" style="125" customWidth="1"/>
    <col min="11" max="11" width="14.21875" style="125" bestFit="1" customWidth="1"/>
    <col min="12" max="13" width="11.5546875" style="125"/>
    <col min="14" max="14" width="17.109375" style="125" bestFit="1" customWidth="1"/>
    <col min="15" max="15" width="11.5546875" style="125"/>
    <col min="16" max="16" width="15.44140625" style="125" bestFit="1" customWidth="1"/>
    <col min="17" max="17" width="3.21875" style="125" customWidth="1"/>
    <col min="18" max="18" width="11.5546875" style="140"/>
    <col min="19" max="19" width="11.5546875" style="144"/>
    <col min="20" max="16384" width="11.5546875" style="125"/>
  </cols>
  <sheetData>
    <row r="1" spans="2:25" ht="15.6" thickBot="1">
      <c r="X1" s="148"/>
      <c r="Y1" s="149">
        <f>-S2</f>
        <v>0.44551453235561278</v>
      </c>
    </row>
    <row r="2" spans="2:25" s="129" customFormat="1" ht="15.6" thickBot="1">
      <c r="B2" s="129" t="s">
        <v>213</v>
      </c>
      <c r="C2" s="130" t="s">
        <v>204</v>
      </c>
      <c r="E2" s="129" t="s">
        <v>214</v>
      </c>
      <c r="F2" s="130" t="s">
        <v>211</v>
      </c>
      <c r="H2" s="129" t="s">
        <v>214</v>
      </c>
      <c r="I2" s="130"/>
      <c r="K2" s="129" t="s">
        <v>216</v>
      </c>
      <c r="L2" s="131">
        <v>0.115</v>
      </c>
      <c r="N2" s="129" t="s">
        <v>217</v>
      </c>
      <c r="O2" s="132">
        <f>+NPV(L2,C7:C36)+C6</f>
        <v>66.716468035360663</v>
      </c>
      <c r="R2" s="139" t="s">
        <v>219</v>
      </c>
      <c r="S2" s="143">
        <f>+O3/O2-1</f>
        <v>-0.44551453235561278</v>
      </c>
      <c r="W2" s="147"/>
      <c r="X2" s="150">
        <v>0.01</v>
      </c>
      <c r="Y2" s="150">
        <f t="dataTable" ref="Y2:Y16" dt2D="0" dtr="0" r1="L2"/>
        <v>0.28574769562499658</v>
      </c>
    </row>
    <row r="3" spans="2:25" s="129" customFormat="1" ht="15.6" thickBot="1">
      <c r="E3" s="129" t="s">
        <v>215</v>
      </c>
      <c r="F3" s="146">
        <v>0</v>
      </c>
      <c r="H3" s="129" t="s">
        <v>215</v>
      </c>
      <c r="I3" s="146">
        <v>0</v>
      </c>
      <c r="N3" s="129" t="s">
        <v>290</v>
      </c>
      <c r="O3" s="132">
        <f>+NPV(L2,F7:F36)+F6</f>
        <v>36.993311978168769</v>
      </c>
      <c r="R3" s="139" t="s">
        <v>219</v>
      </c>
      <c r="S3" s="143">
        <f>+O4/O2-1</f>
        <v>-0.33593744041757012</v>
      </c>
      <c r="X3" s="150">
        <f>+X2+1%</f>
        <v>0.02</v>
      </c>
      <c r="Y3" s="150">
        <v>0.28912922618563464</v>
      </c>
    </row>
    <row r="4" spans="2:25">
      <c r="F4" s="127"/>
      <c r="I4" s="127"/>
      <c r="N4" s="129" t="s">
        <v>218</v>
      </c>
      <c r="O4" s="132">
        <f>+NPV(L2,I7:I36)+I6</f>
        <v>44.303908529860969</v>
      </c>
      <c r="P4" s="205">
        <f>+O4/O3-1</f>
        <v>0.1976194117468173</v>
      </c>
      <c r="X4" s="150">
        <f t="shared" ref="X4:X16" si="0">+X3+1%</f>
        <v>0.03</v>
      </c>
      <c r="Y4" s="151">
        <v>0.29608902687836003</v>
      </c>
    </row>
    <row r="5" spans="2:25" s="129" customFormat="1" ht="15.6" thickBot="1">
      <c r="B5" s="128" t="s">
        <v>12</v>
      </c>
      <c r="C5" s="128" t="s">
        <v>1</v>
      </c>
      <c r="D5" s="128"/>
      <c r="E5" s="128" t="s">
        <v>12</v>
      </c>
      <c r="F5" s="128" t="s">
        <v>1</v>
      </c>
      <c r="G5" s="128"/>
      <c r="H5" s="128" t="s">
        <v>12</v>
      </c>
      <c r="I5" s="128" t="s">
        <v>1</v>
      </c>
      <c r="R5" s="138"/>
      <c r="S5" s="142"/>
      <c r="X5" s="150">
        <f t="shared" si="0"/>
        <v>0.04</v>
      </c>
      <c r="Y5" s="150">
        <v>0.30629977488137883</v>
      </c>
    </row>
    <row r="6" spans="2:25" ht="15.6" thickBot="1">
      <c r="B6" s="126">
        <v>2020</v>
      </c>
      <c r="C6" s="126">
        <f>+SUMPRODUCT('Perfil Bonos Viejos'!$1:$1,'Perfil Bonos Viejos'!4:4)</f>
        <v>7.125</v>
      </c>
      <c r="D6" s="126"/>
      <c r="E6" s="126">
        <v>2020</v>
      </c>
      <c r="F6" s="126">
        <f>SUMPRODUCT('Perfil Oferta Abril'!6:6,'Perfil Oferta Abril'!$3:$3)*(1-$F$3)</f>
        <v>0</v>
      </c>
      <c r="G6" s="126"/>
      <c r="H6" s="126">
        <v>2020</v>
      </c>
      <c r="I6" s="126">
        <f>SUMPRODUCT('Perfil Oferta Julio'!6:6,'Perfil Oferta Julio'!$3:$3)*(1-$I$3)</f>
        <v>0</v>
      </c>
      <c r="N6" s="137" t="s">
        <v>261</v>
      </c>
      <c r="O6" s="173">
        <v>42</v>
      </c>
      <c r="R6" s="141" t="s">
        <v>219</v>
      </c>
      <c r="S6" s="145">
        <f t="shared" ref="S6:S11" si="1">+$O$3/O6-1</f>
        <v>-0.11920685766264838</v>
      </c>
      <c r="T6" s="145">
        <f>+$O$4/O6-1</f>
        <v>5.4854964996689848E-2</v>
      </c>
      <c r="X6" s="150">
        <f t="shared" si="0"/>
        <v>0.05</v>
      </c>
      <c r="Y6" s="151">
        <v>0.31937633130524223</v>
      </c>
    </row>
    <row r="7" spans="2:25" ht="15.6" thickBot="1">
      <c r="B7" s="126">
        <f>+B6+1</f>
        <v>2021</v>
      </c>
      <c r="C7" s="126">
        <f>+SUMPRODUCT('Perfil Bonos Viejos'!$1:$1,'Perfil Bonos Viejos'!5:5)</f>
        <v>7.125</v>
      </c>
      <c r="D7" s="126"/>
      <c r="E7" s="126">
        <f>+E6+1</f>
        <v>2021</v>
      </c>
      <c r="F7" s="126">
        <f>SUMPRODUCT('Perfil Oferta Abril'!7:7,'Perfil Oferta Abril'!$3:$3)*(1-$F$3)</f>
        <v>0</v>
      </c>
      <c r="G7" s="126"/>
      <c r="H7" s="126">
        <f>+H6+1</f>
        <v>2021</v>
      </c>
      <c r="I7" s="126">
        <f>SUMPRODUCT('Perfil Oferta Julio'!7:7,'Perfil Oferta Julio'!$3:$3)*(1-$I$3)</f>
        <v>0.25</v>
      </c>
      <c r="N7" s="137" t="s">
        <v>230</v>
      </c>
      <c r="O7" s="126">
        <f>+SUMPRODUCT('BV Valores Mercado'!$1:$1,'BV Valores Mercado'!4:4)</f>
        <v>28.61</v>
      </c>
      <c r="P7" s="133" t="s">
        <v>228</v>
      </c>
      <c r="Q7" s="133"/>
      <c r="R7" s="141" t="s">
        <v>219</v>
      </c>
      <c r="S7" s="145">
        <f t="shared" si="1"/>
        <v>0.29302034177451142</v>
      </c>
      <c r="T7" s="145">
        <f t="shared" ref="T7:T11" si="2">+$O$4/O7-1</f>
        <v>0.5485462610926588</v>
      </c>
      <c r="X7" s="150">
        <f t="shared" si="0"/>
        <v>6.0000000000000005E-2</v>
      </c>
      <c r="Y7" s="151">
        <v>0.33489916464489078</v>
      </c>
    </row>
    <row r="8" spans="2:25" ht="15.6" thickBot="1">
      <c r="B8" s="126">
        <f t="shared" ref="B8:B36" si="3">+B7+1</f>
        <v>2022</v>
      </c>
      <c r="C8" s="126">
        <f>+SUMPRODUCT('Perfil Bonos Viejos'!$1:$1,'Perfil Bonos Viejos'!6:6)</f>
        <v>7.125</v>
      </c>
      <c r="D8" s="126"/>
      <c r="E8" s="126">
        <f t="shared" ref="E8:E36" si="4">+E7+1</f>
        <v>2022</v>
      </c>
      <c r="F8" s="126">
        <f>SUMPRODUCT('Perfil Oferta Abril'!8:8,'Perfil Oferta Abril'!$3:$3)*(1-$F$3)</f>
        <v>0</v>
      </c>
      <c r="G8" s="126"/>
      <c r="H8" s="126">
        <f t="shared" ref="H8:H36" si="5">+H7+1</f>
        <v>2022</v>
      </c>
      <c r="I8" s="126">
        <f>SUMPRODUCT('Perfil Oferta Julio'!8:8,'Perfil Oferta Julio'!$3:$3)*(1-$I$3)</f>
        <v>2.5</v>
      </c>
      <c r="N8" s="137" t="s">
        <v>220</v>
      </c>
      <c r="O8" s="126">
        <f>+SUMPRODUCT('BV Valores Mercado'!$1:$1,'BV Valores Mercado'!5:5)</f>
        <v>47.2</v>
      </c>
      <c r="P8" s="133" t="s">
        <v>223</v>
      </c>
      <c r="Q8" s="133"/>
      <c r="R8" s="141" t="s">
        <v>219</v>
      </c>
      <c r="S8" s="145">
        <f t="shared" si="1"/>
        <v>-0.21624339029303463</v>
      </c>
      <c r="T8" s="145">
        <f t="shared" si="2"/>
        <v>-6.1357870130064218E-2</v>
      </c>
      <c r="X8" s="150">
        <f t="shared" si="0"/>
        <v>7.0000000000000007E-2</v>
      </c>
      <c r="Y8" s="151">
        <v>0.35243639514039438</v>
      </c>
    </row>
    <row r="9" spans="2:25" ht="15.6" thickBot="1">
      <c r="B9" s="126">
        <f t="shared" si="3"/>
        <v>2023</v>
      </c>
      <c r="C9" s="126">
        <f>+SUMPRODUCT('Perfil Bonos Viejos'!$1:$1,'Perfil Bonos Viejos'!7:7)</f>
        <v>7.125</v>
      </c>
      <c r="D9" s="126"/>
      <c r="E9" s="126">
        <f t="shared" si="4"/>
        <v>2023</v>
      </c>
      <c r="F9" s="126">
        <f>SUMPRODUCT('Perfil Oferta Abril'!9:9,'Perfil Oferta Abril'!$3:$3)*(1-$F$3)</f>
        <v>0.6</v>
      </c>
      <c r="G9" s="126"/>
      <c r="H9" s="126">
        <f t="shared" si="5"/>
        <v>2023</v>
      </c>
      <c r="I9" s="126">
        <f>SUMPRODUCT('Perfil Oferta Julio'!9:9,'Perfil Oferta Julio'!$3:$3)*(1-$I$3)</f>
        <v>3.5</v>
      </c>
      <c r="N9" s="137" t="s">
        <v>221</v>
      </c>
      <c r="O9" s="126">
        <f>+SUMPRODUCT('BV Valores Mercado'!$1:$1,'BV Valores Mercado'!6:6)</f>
        <v>75</v>
      </c>
      <c r="P9" s="133" t="s">
        <v>222</v>
      </c>
      <c r="Q9" s="133"/>
      <c r="R9" s="141" t="s">
        <v>219</v>
      </c>
      <c r="S9" s="145">
        <f t="shared" si="1"/>
        <v>-0.506755840291083</v>
      </c>
      <c r="T9" s="145">
        <f t="shared" si="2"/>
        <v>-0.40928121960185371</v>
      </c>
      <c r="X9" s="150">
        <f t="shared" si="0"/>
        <v>0.08</v>
      </c>
      <c r="Y9" s="151">
        <v>0.3715628779455612</v>
      </c>
    </row>
    <row r="10" spans="2:25" ht="15.6" thickBot="1">
      <c r="B10" s="126">
        <f t="shared" si="3"/>
        <v>2024</v>
      </c>
      <c r="C10" s="126">
        <f>+SUMPRODUCT('Perfil Bonos Viejos'!$1:$1,'Perfil Bonos Viejos'!8:8)</f>
        <v>7.125</v>
      </c>
      <c r="D10" s="126"/>
      <c r="E10" s="126">
        <f t="shared" si="4"/>
        <v>2024</v>
      </c>
      <c r="F10" s="126">
        <f>SUMPRODUCT('Perfil Oferta Abril'!10:10,'Perfil Oferta Abril'!$3:$3)*(1-$F$3)</f>
        <v>3</v>
      </c>
      <c r="G10" s="126"/>
      <c r="H10" s="126">
        <f t="shared" si="5"/>
        <v>2024</v>
      </c>
      <c r="I10" s="126">
        <f>SUMPRODUCT('Perfil Oferta Julio'!10:10,'Perfil Oferta Julio'!$3:$3)*(1-$I$3)</f>
        <v>3.5</v>
      </c>
      <c r="N10" s="137" t="s">
        <v>224</v>
      </c>
      <c r="O10" s="126">
        <f>+SUMPRODUCT('BV Valores Mercado'!$1:$1,'BV Valores Mercado'!7:7)</f>
        <v>76.3</v>
      </c>
      <c r="P10" s="133" t="s">
        <v>226</v>
      </c>
      <c r="Q10" s="133"/>
      <c r="R10" s="141" t="s">
        <v>219</v>
      </c>
      <c r="S10" s="145">
        <f t="shared" si="1"/>
        <v>-0.5151597381629256</v>
      </c>
      <c r="T10" s="145">
        <f t="shared" si="2"/>
        <v>-0.41934589082751017</v>
      </c>
      <c r="X10" s="150">
        <f t="shared" si="0"/>
        <v>0.09</v>
      </c>
      <c r="Y10" s="151">
        <v>0.39187539636024904</v>
      </c>
    </row>
    <row r="11" spans="2:25" ht="15.6" thickBot="1">
      <c r="B11" s="126">
        <f t="shared" si="3"/>
        <v>2025</v>
      </c>
      <c r="C11" s="126">
        <f>+SUMPRODUCT('Perfil Bonos Viejos'!$1:$1,'Perfil Bonos Viejos'!9:9)</f>
        <v>7.125</v>
      </c>
      <c r="D11" s="126"/>
      <c r="E11" s="126">
        <f t="shared" si="4"/>
        <v>2025</v>
      </c>
      <c r="F11" s="126">
        <f>SUMPRODUCT('Perfil Oferta Abril'!11:11,'Perfil Oferta Abril'!$3:$3)*(1-$F$3)</f>
        <v>3</v>
      </c>
      <c r="G11" s="126"/>
      <c r="H11" s="126">
        <f t="shared" si="5"/>
        <v>2025</v>
      </c>
      <c r="I11" s="126">
        <f>SUMPRODUCT('Perfil Oferta Julio'!11:11,'Perfil Oferta Julio'!$3:$3)*(1-$I$3)</f>
        <v>3.5</v>
      </c>
      <c r="N11" s="137" t="s">
        <v>225</v>
      </c>
      <c r="O11" s="126">
        <f>+SUMPRODUCT('BV Valores Mercado'!$1:$1,'BV Valores Mercado'!8:8)</f>
        <v>103.5</v>
      </c>
      <c r="P11" s="133" t="s">
        <v>227</v>
      </c>
      <c r="Q11" s="133"/>
      <c r="R11" s="141" t="s">
        <v>219</v>
      </c>
      <c r="S11" s="145">
        <f t="shared" si="1"/>
        <v>-0.64257669586310362</v>
      </c>
      <c r="T11" s="145">
        <f t="shared" si="2"/>
        <v>-0.57194291275496645</v>
      </c>
      <c r="X11" s="150">
        <f t="shared" si="0"/>
        <v>9.9999999999999992E-2</v>
      </c>
      <c r="Y11" s="151">
        <v>0.41300364997069428</v>
      </c>
    </row>
    <row r="12" spans="2:25">
      <c r="B12" s="126">
        <f t="shared" si="3"/>
        <v>2026</v>
      </c>
      <c r="C12" s="126">
        <f>+SUMPRODUCT('Perfil Bonos Viejos'!$1:$1,'Perfil Bonos Viejos'!10:10)</f>
        <v>7.125</v>
      </c>
      <c r="D12" s="126"/>
      <c r="E12" s="126">
        <f t="shared" si="4"/>
        <v>2026</v>
      </c>
      <c r="F12" s="126">
        <f>SUMPRODUCT('Perfil Oferta Abril'!12:12,'Perfil Oferta Abril'!$3:$3)*(1-$F$3)</f>
        <v>3.625</v>
      </c>
      <c r="G12" s="126"/>
      <c r="H12" s="126">
        <f t="shared" si="5"/>
        <v>2026</v>
      </c>
      <c r="I12" s="126">
        <f>SUMPRODUCT('Perfil Oferta Julio'!12:12,'Perfil Oferta Julio'!$3:$3)*(1-$I$3)</f>
        <v>3.5</v>
      </c>
      <c r="X12" s="150">
        <f t="shared" si="0"/>
        <v>0.10999999999999999</v>
      </c>
      <c r="Y12" s="151">
        <v>0.4346172114989737</v>
      </c>
    </row>
    <row r="13" spans="2:25">
      <c r="B13" s="126">
        <f t="shared" si="3"/>
        <v>2027</v>
      </c>
      <c r="C13" s="126">
        <f>+SUMPRODUCT('Perfil Bonos Viejos'!$1:$1,'Perfil Bonos Viejos'!11:11)</f>
        <v>7.125</v>
      </c>
      <c r="D13" s="126"/>
      <c r="E13" s="126">
        <f t="shared" si="4"/>
        <v>2027</v>
      </c>
      <c r="F13" s="126">
        <f>SUMPRODUCT('Perfil Oferta Abril'!13:13,'Perfil Oferta Abril'!$3:$3)*(1-$F$3)</f>
        <v>3.625</v>
      </c>
      <c r="G13" s="126"/>
      <c r="H13" s="126">
        <f t="shared" si="5"/>
        <v>2027</v>
      </c>
      <c r="I13" s="126">
        <f>SUMPRODUCT('Perfil Oferta Julio'!13:13,'Perfil Oferta Julio'!$3:$3)*(1-$I$3)</f>
        <v>3.5</v>
      </c>
      <c r="X13" s="150">
        <f t="shared" si="0"/>
        <v>0.11999999999999998</v>
      </c>
      <c r="Y13" s="151">
        <v>0.4564289548649616</v>
      </c>
    </row>
    <row r="14" spans="2:25">
      <c r="B14" s="126">
        <f t="shared" si="3"/>
        <v>2028</v>
      </c>
      <c r="C14" s="126">
        <f>+SUMPRODUCT('Perfil Bonos Viejos'!$1:$1,'Perfil Bonos Viejos'!12:12)</f>
        <v>7.125</v>
      </c>
      <c r="D14" s="126"/>
      <c r="E14" s="126">
        <f t="shared" si="4"/>
        <v>2028</v>
      </c>
      <c r="F14" s="126">
        <f>SUMPRODUCT('Perfil Oferta Abril'!14:14,'Perfil Oferta Abril'!$3:$3)*(1-$F$3)</f>
        <v>3.625</v>
      </c>
      <c r="G14" s="126"/>
      <c r="H14" s="126">
        <f t="shared" si="5"/>
        <v>2028</v>
      </c>
      <c r="I14" s="126">
        <f>SUMPRODUCT('Perfil Oferta Julio'!14:14,'Perfil Oferta Julio'!$3:$3)*(1-$I$3)</f>
        <v>10.642857142857142</v>
      </c>
      <c r="X14" s="150">
        <f t="shared" si="0"/>
        <v>0.12999999999999998</v>
      </c>
      <c r="Y14" s="151">
        <v>0.47819562954731665</v>
      </c>
    </row>
    <row r="15" spans="2:25">
      <c r="B15" s="126">
        <f t="shared" si="3"/>
        <v>2029</v>
      </c>
      <c r="C15" s="126">
        <f>+SUMPRODUCT('Perfil Bonos Viejos'!$1:$1,'Perfil Bonos Viejos'!13:13)</f>
        <v>7.125</v>
      </c>
      <c r="D15" s="126"/>
      <c r="E15" s="126">
        <f t="shared" si="4"/>
        <v>2029</v>
      </c>
      <c r="F15" s="126">
        <f>SUMPRODUCT('Perfil Oferta Abril'!15:15,'Perfil Oferta Abril'!$3:$3)*(1-$F$3)</f>
        <v>3.625</v>
      </c>
      <c r="G15" s="126"/>
      <c r="H15" s="126">
        <f t="shared" si="5"/>
        <v>2029</v>
      </c>
      <c r="I15" s="126">
        <f>SUMPRODUCT('Perfil Oferta Julio'!15:15,'Perfil Oferta Julio'!$3:$3)*(1-$I$3)</f>
        <v>10.392857142857142</v>
      </c>
      <c r="X15" s="150">
        <f t="shared" si="0"/>
        <v>0.13999999999999999</v>
      </c>
      <c r="Y15" s="151">
        <v>0.49971630139832213</v>
      </c>
    </row>
    <row r="16" spans="2:25">
      <c r="B16" s="126">
        <f t="shared" si="3"/>
        <v>2030</v>
      </c>
      <c r="C16" s="126">
        <f>+SUMPRODUCT('Perfil Bonos Viejos'!$1:$1,'Perfil Bonos Viejos'!14:14)</f>
        <v>7.125</v>
      </c>
      <c r="D16" s="126"/>
      <c r="E16" s="126">
        <f t="shared" si="4"/>
        <v>2030</v>
      </c>
      <c r="F16" s="126">
        <f>SUMPRODUCT('Perfil Oferta Abril'!16:16,'Perfil Oferta Abril'!$3:$3)*(1-$F$3)</f>
        <v>12.017857142857142</v>
      </c>
      <c r="G16" s="126"/>
      <c r="H16" s="126">
        <f t="shared" si="5"/>
        <v>2030</v>
      </c>
      <c r="I16" s="126">
        <f>SUMPRODUCT('Perfil Oferta Julio'!16:16,'Perfil Oferta Julio'!$3:$3)*(1-$I$3)</f>
        <v>11.321428571428573</v>
      </c>
      <c r="X16" s="150">
        <f t="shared" si="0"/>
        <v>0.15</v>
      </c>
      <c r="Y16" s="151">
        <v>0.52082933594346359</v>
      </c>
    </row>
    <row r="17" spans="2:9">
      <c r="B17" s="126">
        <f t="shared" si="3"/>
        <v>2031</v>
      </c>
      <c r="C17" s="126">
        <f>+SUMPRODUCT('Perfil Bonos Viejos'!$1:$1,'Perfil Bonos Viejos'!15:15)</f>
        <v>7.125</v>
      </c>
      <c r="D17" s="126"/>
      <c r="E17" s="126">
        <f t="shared" si="4"/>
        <v>2031</v>
      </c>
      <c r="F17" s="126">
        <f>SUMPRODUCT('Perfil Oferta Abril'!17:17,'Perfil Oferta Abril'!$3:$3)*(1-$F$3)</f>
        <v>11.669642857142858</v>
      </c>
      <c r="G17" s="126"/>
      <c r="H17" s="126">
        <f t="shared" si="5"/>
        <v>2031</v>
      </c>
      <c r="I17" s="126">
        <f>SUMPRODUCT('Perfil Oferta Julio'!17:17,'Perfil Oferta Julio'!$3:$3)*(1-$I$3)</f>
        <v>10.973214285714286</v>
      </c>
    </row>
    <row r="18" spans="2:9">
      <c r="B18" s="126">
        <f t="shared" si="3"/>
        <v>2032</v>
      </c>
      <c r="C18" s="126">
        <f>+SUMPRODUCT('Perfil Bonos Viejos'!$1:$1,'Perfil Bonos Viejos'!16:16)</f>
        <v>7.125</v>
      </c>
      <c r="D18" s="126"/>
      <c r="E18" s="126">
        <f t="shared" si="4"/>
        <v>2032</v>
      </c>
      <c r="F18" s="126">
        <f>SUMPRODUCT('Perfil Oferta Abril'!18:18,'Perfil Oferta Abril'!$3:$3)*(1-$F$3)</f>
        <v>11.321428571428573</v>
      </c>
      <c r="G18" s="126"/>
      <c r="H18" s="126">
        <f t="shared" si="5"/>
        <v>2032</v>
      </c>
      <c r="I18" s="126">
        <f>SUMPRODUCT('Perfil Oferta Julio'!18:18,'Perfil Oferta Julio'!$3:$3)*(1-$I$3)</f>
        <v>10.625</v>
      </c>
    </row>
    <row r="19" spans="2:9">
      <c r="B19" s="126">
        <f t="shared" si="3"/>
        <v>2033</v>
      </c>
      <c r="C19" s="126">
        <f>+SUMPRODUCT('Perfil Bonos Viejos'!$1:$1,'Perfil Bonos Viejos'!17:17)</f>
        <v>7.125</v>
      </c>
      <c r="D19" s="126"/>
      <c r="E19" s="126">
        <f t="shared" si="4"/>
        <v>2033</v>
      </c>
      <c r="F19" s="126">
        <f>SUMPRODUCT('Perfil Oferta Abril'!19:19,'Perfil Oferta Abril'!$3:$3)*(1-$F$3)</f>
        <v>10.973214285714286</v>
      </c>
      <c r="G19" s="126"/>
      <c r="H19" s="126">
        <f t="shared" si="5"/>
        <v>2033</v>
      </c>
      <c r="I19" s="126">
        <f>SUMPRODUCT('Perfil Oferta Julio'!19:19,'Perfil Oferta Julio'!$3:$3)*(1-$I$3)</f>
        <v>10.276785714285715</v>
      </c>
    </row>
    <row r="20" spans="2:9">
      <c r="B20" s="126">
        <f t="shared" si="3"/>
        <v>2034</v>
      </c>
      <c r="C20" s="126">
        <f>+SUMPRODUCT('Perfil Bonos Viejos'!$1:$1,'Perfil Bonos Viejos'!18:18)</f>
        <v>7.125</v>
      </c>
      <c r="D20" s="126"/>
      <c r="E20" s="126">
        <f t="shared" si="4"/>
        <v>2034</v>
      </c>
      <c r="F20" s="126">
        <f>SUMPRODUCT('Perfil Oferta Abril'!20:20,'Perfil Oferta Abril'!$3:$3)*(1-$F$3)</f>
        <v>10.625</v>
      </c>
      <c r="G20" s="126"/>
      <c r="H20" s="126">
        <f t="shared" si="5"/>
        <v>2034</v>
      </c>
      <c r="I20" s="126">
        <f>SUMPRODUCT('Perfil Oferta Julio'!20:20,'Perfil Oferta Julio'!$3:$3)*(1-$I$3)</f>
        <v>9.9285714285714306</v>
      </c>
    </row>
    <row r="21" spans="2:9">
      <c r="B21" s="126">
        <f t="shared" si="3"/>
        <v>2035</v>
      </c>
      <c r="C21" s="126">
        <f>+SUMPRODUCT('Perfil Bonos Viejos'!$1:$1,'Perfil Bonos Viejos'!19:19)</f>
        <v>7.125</v>
      </c>
      <c r="D21" s="126"/>
      <c r="E21" s="126">
        <f t="shared" si="4"/>
        <v>2035</v>
      </c>
      <c r="F21" s="126">
        <f>SUMPRODUCT('Perfil Oferta Abril'!21:21,'Perfil Oferta Abril'!$3:$3)*(1-$F$3)</f>
        <v>10.276785714285715</v>
      </c>
      <c r="G21" s="126"/>
      <c r="H21" s="126">
        <f t="shared" si="5"/>
        <v>2035</v>
      </c>
      <c r="I21" s="126">
        <f>SUMPRODUCT('Perfil Oferta Julio'!21:21,'Perfil Oferta Julio'!$3:$3)*(1-$I$3)</f>
        <v>9.5803571428571441</v>
      </c>
    </row>
    <row r="22" spans="2:9">
      <c r="B22" s="126">
        <f t="shared" si="3"/>
        <v>2036</v>
      </c>
      <c r="C22" s="126">
        <f>+SUMPRODUCT('Perfil Bonos Viejos'!$1:$1,'Perfil Bonos Viejos'!20:20)</f>
        <v>7.125</v>
      </c>
      <c r="D22" s="126"/>
      <c r="E22" s="126">
        <f t="shared" si="4"/>
        <v>2036</v>
      </c>
      <c r="F22" s="126">
        <f>SUMPRODUCT('Perfil Oferta Abril'!22:22,'Perfil Oferta Abril'!$3:$3)*(1-$F$3)</f>
        <v>9.9285714285714306</v>
      </c>
      <c r="G22" s="126"/>
      <c r="H22" s="126">
        <f t="shared" si="5"/>
        <v>2036</v>
      </c>
      <c r="I22" s="126">
        <f>SUMPRODUCT('Perfil Oferta Julio'!22:22,'Perfil Oferta Julio'!$3:$3)*(1-$I$3)</f>
        <v>9.2321428571428577</v>
      </c>
    </row>
    <row r="23" spans="2:9">
      <c r="B23" s="126">
        <f t="shared" si="3"/>
        <v>2037</v>
      </c>
      <c r="C23" s="126">
        <f>+SUMPRODUCT('Perfil Bonos Viejos'!$1:$1,'Perfil Bonos Viejos'!21:21)</f>
        <v>7.125</v>
      </c>
      <c r="D23" s="126"/>
      <c r="E23" s="126">
        <f t="shared" si="4"/>
        <v>2037</v>
      </c>
      <c r="F23" s="126">
        <f>SUMPRODUCT('Perfil Oferta Abril'!23:23,'Perfil Oferta Abril'!$3:$3)*(1-$F$3)</f>
        <v>9.5803571428571441</v>
      </c>
      <c r="G23" s="126"/>
      <c r="H23" s="126">
        <f t="shared" si="5"/>
        <v>2037</v>
      </c>
      <c r="I23" s="126">
        <f>SUMPRODUCT('Perfil Oferta Julio'!23:23,'Perfil Oferta Julio'!$3:$3)*(1-$I$3)</f>
        <v>8.883928571428573</v>
      </c>
    </row>
    <row r="24" spans="2:9">
      <c r="B24" s="126">
        <f t="shared" si="3"/>
        <v>2038</v>
      </c>
      <c r="C24" s="126">
        <f>+SUMPRODUCT('Perfil Bonos Viejos'!$1:$1,'Perfil Bonos Viejos'!22:22)</f>
        <v>7.125</v>
      </c>
      <c r="D24" s="126"/>
      <c r="E24" s="126">
        <f t="shared" si="4"/>
        <v>2038</v>
      </c>
      <c r="F24" s="126">
        <f>SUMPRODUCT('Perfil Oferta Abril'!24:24,'Perfil Oferta Abril'!$3:$3)*(1-$F$3)</f>
        <v>9.2321428571428577</v>
      </c>
      <c r="G24" s="126"/>
      <c r="H24" s="126">
        <f t="shared" si="5"/>
        <v>2038</v>
      </c>
      <c r="I24" s="126">
        <f>SUMPRODUCT('Perfil Oferta Julio'!24:24,'Perfil Oferta Julio'!$3:$3)*(1-$I$3)</f>
        <v>8.5357142857142865</v>
      </c>
    </row>
    <row r="25" spans="2:9">
      <c r="B25" s="126">
        <f t="shared" si="3"/>
        <v>2039</v>
      </c>
      <c r="C25" s="126">
        <f>+SUMPRODUCT('Perfil Bonos Viejos'!$1:$1,'Perfil Bonos Viejos'!23:23)</f>
        <v>7.125</v>
      </c>
      <c r="D25" s="126"/>
      <c r="E25" s="126">
        <f t="shared" si="4"/>
        <v>2039</v>
      </c>
      <c r="F25" s="126">
        <f>SUMPRODUCT('Perfil Oferta Abril'!25:25,'Perfil Oferta Abril'!$3:$3)*(1-$F$3)</f>
        <v>8.883928571428573</v>
      </c>
      <c r="G25" s="126"/>
      <c r="H25" s="126">
        <f t="shared" si="5"/>
        <v>2039</v>
      </c>
      <c r="I25" s="126">
        <f>SUMPRODUCT('Perfil Oferta Julio'!25:25,'Perfil Oferta Julio'!$3:$3)*(1-$I$3)</f>
        <v>8.1875</v>
      </c>
    </row>
    <row r="26" spans="2:9">
      <c r="B26" s="126">
        <f t="shared" si="3"/>
        <v>2040</v>
      </c>
      <c r="C26" s="126">
        <f>+SUMPRODUCT('Perfil Bonos Viejos'!$1:$1,'Perfil Bonos Viejos'!24:24)</f>
        <v>7.125</v>
      </c>
      <c r="D26" s="126"/>
      <c r="E26" s="126">
        <f t="shared" si="4"/>
        <v>2040</v>
      </c>
      <c r="F26" s="126">
        <f>SUMPRODUCT('Perfil Oferta Abril'!26:26,'Perfil Oferta Abril'!$3:$3)*(1-$F$3)</f>
        <v>8.5357142857142865</v>
      </c>
      <c r="G26" s="126"/>
      <c r="H26" s="126">
        <f t="shared" si="5"/>
        <v>2040</v>
      </c>
      <c r="I26" s="126">
        <f>SUMPRODUCT('Perfil Oferta Julio'!26:26,'Perfil Oferta Julio'!$3:$3)*(1-$I$3)</f>
        <v>7.8392857142857153</v>
      </c>
    </row>
    <row r="27" spans="2:9">
      <c r="B27" s="126">
        <f t="shared" si="3"/>
        <v>2041</v>
      </c>
      <c r="C27" s="126">
        <f>+SUMPRODUCT('Perfil Bonos Viejos'!$1:$1,'Perfil Bonos Viejos'!25:25)</f>
        <v>7.125</v>
      </c>
      <c r="D27" s="126"/>
      <c r="E27" s="126">
        <f t="shared" si="4"/>
        <v>2041</v>
      </c>
      <c r="F27" s="126">
        <f>SUMPRODUCT('Perfil Oferta Abril'!27:27,'Perfil Oferta Abril'!$3:$3)*(1-$F$3)</f>
        <v>8.1875</v>
      </c>
      <c r="G27" s="126"/>
      <c r="H27" s="126">
        <f t="shared" si="5"/>
        <v>2041</v>
      </c>
      <c r="I27" s="126">
        <f>SUMPRODUCT('Perfil Oferta Julio'!27:27,'Perfil Oferta Julio'!$3:$3)*(1-$I$3)</f>
        <v>7.4910714285714297</v>
      </c>
    </row>
    <row r="28" spans="2:9">
      <c r="B28" s="126">
        <f t="shared" si="3"/>
        <v>2042</v>
      </c>
      <c r="C28" s="126">
        <f>+SUMPRODUCT('Perfil Bonos Viejos'!$1:$1,'Perfil Bonos Viejos'!26:26)</f>
        <v>7.125</v>
      </c>
      <c r="D28" s="126"/>
      <c r="E28" s="126">
        <f t="shared" si="4"/>
        <v>2042</v>
      </c>
      <c r="F28" s="126">
        <f>SUMPRODUCT('Perfil Oferta Abril'!28:28,'Perfil Oferta Abril'!$3:$3)*(1-$F$3)</f>
        <v>7.8392857142857153</v>
      </c>
      <c r="G28" s="126"/>
      <c r="H28" s="126">
        <f t="shared" si="5"/>
        <v>2042</v>
      </c>
      <c r="I28" s="126">
        <f>SUMPRODUCT('Perfil Oferta Julio'!28:28,'Perfil Oferta Julio'!$3:$3)*(1-$I$3)</f>
        <v>0</v>
      </c>
    </row>
    <row r="29" spans="2:9">
      <c r="B29" s="126">
        <f t="shared" si="3"/>
        <v>2043</v>
      </c>
      <c r="C29" s="126">
        <f>+SUMPRODUCT('Perfil Bonos Viejos'!$1:$1,'Perfil Bonos Viejos'!27:27)</f>
        <v>7.125</v>
      </c>
      <c r="D29" s="126"/>
      <c r="E29" s="126">
        <f t="shared" si="4"/>
        <v>2043</v>
      </c>
      <c r="F29" s="126">
        <f>SUMPRODUCT('Perfil Oferta Abril'!29:29,'Perfil Oferta Abril'!$3:$3)*(1-$F$3)</f>
        <v>7.4910714285714297</v>
      </c>
      <c r="G29" s="126"/>
      <c r="H29" s="126">
        <f t="shared" si="5"/>
        <v>2043</v>
      </c>
      <c r="I29" s="126">
        <f>SUMPRODUCT('Perfil Oferta Julio'!29:29,'Perfil Oferta Julio'!$3:$3)*(1-$I$3)</f>
        <v>0</v>
      </c>
    </row>
    <row r="30" spans="2:9">
      <c r="B30" s="126">
        <f t="shared" si="3"/>
        <v>2044</v>
      </c>
      <c r="C30" s="126">
        <f>+SUMPRODUCT('Perfil Bonos Viejos'!$1:$1,'Perfil Bonos Viejos'!28:28)</f>
        <v>7.125</v>
      </c>
      <c r="D30" s="126"/>
      <c r="E30" s="126">
        <f t="shared" si="4"/>
        <v>2044</v>
      </c>
      <c r="F30" s="126">
        <f>SUMPRODUCT('Perfil Oferta Abril'!30:30,'Perfil Oferta Abril'!$3:$3)*(1-$F$3)</f>
        <v>0</v>
      </c>
      <c r="G30" s="126"/>
      <c r="H30" s="126">
        <f t="shared" si="5"/>
        <v>2044</v>
      </c>
      <c r="I30" s="126">
        <f>SUMPRODUCT('Perfil Oferta Julio'!30:30,'Perfil Oferta Julio'!$3:$3)*(1-$I$3)</f>
        <v>0</v>
      </c>
    </row>
    <row r="31" spans="2:9">
      <c r="B31" s="126">
        <f t="shared" si="3"/>
        <v>2045</v>
      </c>
      <c r="C31" s="126">
        <f>+SUMPRODUCT('Perfil Bonos Viejos'!$1:$1,'Perfil Bonos Viejos'!29:29)</f>
        <v>7.125</v>
      </c>
      <c r="D31" s="126"/>
      <c r="E31" s="126">
        <f t="shared" si="4"/>
        <v>2045</v>
      </c>
      <c r="F31" s="126">
        <f>SUMPRODUCT('Perfil Oferta Abril'!31:31,'Perfil Oferta Abril'!$3:$3)*(1-$F$3)</f>
        <v>0</v>
      </c>
      <c r="G31" s="126"/>
      <c r="H31" s="126">
        <f t="shared" si="5"/>
        <v>2045</v>
      </c>
      <c r="I31" s="126">
        <f>SUMPRODUCT('Perfil Oferta Julio'!31:31,'Perfil Oferta Julio'!$3:$3)*(1-$I$3)</f>
        <v>0</v>
      </c>
    </row>
    <row r="32" spans="2:9">
      <c r="B32" s="126">
        <f t="shared" si="3"/>
        <v>2046</v>
      </c>
      <c r="C32" s="126">
        <f>+SUMPRODUCT('Perfil Bonos Viejos'!$1:$1,'Perfil Bonos Viejos'!30:30)</f>
        <v>7.125</v>
      </c>
      <c r="D32" s="126"/>
      <c r="E32" s="126">
        <f t="shared" si="4"/>
        <v>2046</v>
      </c>
      <c r="F32" s="126">
        <f>SUMPRODUCT('Perfil Oferta Abril'!32:32,'Perfil Oferta Abril'!$3:$3)*(1-$F$3)</f>
        <v>0</v>
      </c>
      <c r="G32" s="126"/>
      <c r="H32" s="126">
        <f t="shared" si="5"/>
        <v>2046</v>
      </c>
      <c r="I32" s="126">
        <f>SUMPRODUCT('Perfil Oferta Julio'!32:32,'Perfil Oferta Julio'!$3:$3)*(1-$I$3)</f>
        <v>0</v>
      </c>
    </row>
    <row r="33" spans="2:9">
      <c r="B33" s="126">
        <f t="shared" si="3"/>
        <v>2047</v>
      </c>
      <c r="C33" s="126">
        <f>+SUMPRODUCT('Perfil Bonos Viejos'!$1:$1,'Perfil Bonos Viejos'!31:31)</f>
        <v>7.125</v>
      </c>
      <c r="D33" s="126"/>
      <c r="E33" s="126">
        <f t="shared" si="4"/>
        <v>2047</v>
      </c>
      <c r="F33" s="126">
        <f>SUMPRODUCT('Perfil Oferta Abril'!33:33,'Perfil Oferta Abril'!$3:$3)*(1-$F$3)</f>
        <v>0</v>
      </c>
      <c r="G33" s="126"/>
      <c r="H33" s="126">
        <f t="shared" si="5"/>
        <v>2047</v>
      </c>
      <c r="I33" s="126">
        <f>SUMPRODUCT('Perfil Oferta Julio'!33:33,'Perfil Oferta Julio'!$3:$3)*(1-$I$3)</f>
        <v>0</v>
      </c>
    </row>
    <row r="34" spans="2:9">
      <c r="B34" s="126">
        <f t="shared" si="3"/>
        <v>2048</v>
      </c>
      <c r="C34" s="126">
        <f>+SUMPRODUCT('Perfil Bonos Viejos'!$1:$1,'Perfil Bonos Viejos'!32:32)</f>
        <v>7.125</v>
      </c>
      <c r="D34" s="126"/>
      <c r="E34" s="126">
        <f t="shared" si="4"/>
        <v>2048</v>
      </c>
      <c r="F34" s="126">
        <f>SUMPRODUCT('Perfil Oferta Abril'!34:34,'Perfil Oferta Abril'!$3:$3)*(1-$F$3)</f>
        <v>0</v>
      </c>
      <c r="G34" s="126"/>
      <c r="H34" s="126">
        <f t="shared" si="5"/>
        <v>2048</v>
      </c>
      <c r="I34" s="126">
        <f>SUMPRODUCT('Perfil Oferta Julio'!34:34,'Perfil Oferta Julio'!$3:$3)*(1-$I$3)</f>
        <v>0</v>
      </c>
    </row>
    <row r="35" spans="2:9">
      <c r="B35" s="126">
        <f t="shared" si="3"/>
        <v>2049</v>
      </c>
      <c r="C35" s="126">
        <f>+SUMPRODUCT('Perfil Bonos Viejos'!$1:$1,'Perfil Bonos Viejos'!33:33)</f>
        <v>7.125</v>
      </c>
      <c r="D35" s="126"/>
      <c r="E35" s="126">
        <f t="shared" si="4"/>
        <v>2049</v>
      </c>
      <c r="F35" s="126">
        <f>SUMPRODUCT('Perfil Oferta Abril'!35:35,'Perfil Oferta Abril'!$3:$3)*(1-$F$3)</f>
        <v>0</v>
      </c>
      <c r="G35" s="126"/>
      <c r="H35" s="126">
        <f t="shared" si="5"/>
        <v>2049</v>
      </c>
      <c r="I35" s="126">
        <f>SUMPRODUCT('Perfil Oferta Julio'!35:35,'Perfil Oferta Julio'!$3:$3)*(1-$I$3)</f>
        <v>0</v>
      </c>
    </row>
    <row r="36" spans="2:9">
      <c r="B36" s="126">
        <f t="shared" si="3"/>
        <v>2050</v>
      </c>
      <c r="C36" s="126">
        <f>+SUMPRODUCT('Perfil Bonos Viejos'!$1:$1,'Perfil Bonos Viejos'!34:34)</f>
        <v>7.125</v>
      </c>
      <c r="D36" s="126"/>
      <c r="E36" s="126">
        <f t="shared" si="4"/>
        <v>2050</v>
      </c>
      <c r="F36" s="126">
        <f>SUMPRODUCT('Perfil Oferta Abril'!36:36,'Perfil Oferta Abril'!$3:$3)*(1-$F$3)</f>
        <v>0</v>
      </c>
      <c r="G36" s="126"/>
      <c r="H36" s="126">
        <f t="shared" si="5"/>
        <v>2050</v>
      </c>
      <c r="I36" s="126">
        <f>SUMPRODUCT('Perfil Oferta Julio'!36:36,'Perfil Oferta Julio'!$3:$3)*(1-$I$3)</f>
        <v>0</v>
      </c>
    </row>
  </sheetData>
  <dataValidations count="2">
    <dataValidation type="list" allowBlank="1" showInputMessage="1" showErrorMessage="1" sqref="C2" xr:uid="{AC6E8224-445C-4B53-84B0-2A2FA6B219F8}">
      <formula1>Bonos_Viejos</formula1>
    </dataValidation>
    <dataValidation type="list" allowBlank="1" showInputMessage="1" showErrorMessage="1" sqref="F2:G2 I2" xr:uid="{07686FB3-DCE8-43C9-9476-243115404FD5}">
      <formula1>Bonos_Nuevos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118D-4E0D-4590-A6FE-FA65E9D45F93}">
  <dimension ref="B3:AE39"/>
  <sheetViews>
    <sheetView workbookViewId="0">
      <selection activeCell="D5" sqref="D5"/>
    </sheetView>
  </sheetViews>
  <sheetFormatPr baseColWidth="10" defaultColWidth="9.109375" defaultRowHeight="14.4"/>
  <cols>
    <col min="1" max="3" width="9.109375" style="1"/>
    <col min="4" max="4" width="11.6640625" style="1" bestFit="1" customWidth="1"/>
    <col min="5" max="16384" width="9.109375" style="1"/>
  </cols>
  <sheetData>
    <row r="3" spans="2:31">
      <c r="G3" s="1">
        <f>IF(C4='Comparación Reestructuración'!$F$2,1,0)</f>
        <v>0</v>
      </c>
      <c r="M3" s="1">
        <f>IF(I4='Comparación Reestructuración'!$F$2,1,0)</f>
        <v>0</v>
      </c>
      <c r="S3" s="1">
        <f>IF(O4='Comparación Reestructuración'!$F$2,1,0)</f>
        <v>0</v>
      </c>
      <c r="Y3" s="1">
        <f>IF(U4='Comparación Reestructuración'!$F$2,1,0)</f>
        <v>1</v>
      </c>
      <c r="AE3" s="1">
        <f>IF(AA4='Comparación Reestructuración'!$F$2,1,0)</f>
        <v>0</v>
      </c>
    </row>
    <row r="4" spans="2:31">
      <c r="C4" s="1" t="s">
        <v>208</v>
      </c>
      <c r="G4" s="4">
        <f>+NPV(0.1,G7:G41)</f>
        <v>49.999873173607192</v>
      </c>
      <c r="I4" s="1" t="s">
        <v>209</v>
      </c>
      <c r="M4" s="4">
        <f>+NPV(0.1,M7:M41)</f>
        <v>42.321161299662982</v>
      </c>
      <c r="O4" s="1" t="s">
        <v>210</v>
      </c>
      <c r="P4" s="4"/>
      <c r="R4" s="4"/>
      <c r="S4" s="4">
        <f>+NPV(0.1,S7:S41)</f>
        <v>45.285287725461814</v>
      </c>
      <c r="U4" s="1" t="s">
        <v>211</v>
      </c>
      <c r="Y4" s="4">
        <f>+NPV(10%,Y7:Y41)</f>
        <v>43.608995231103052</v>
      </c>
      <c r="Z4" s="3"/>
      <c r="AA4" s="1" t="s">
        <v>212</v>
      </c>
      <c r="AE4" s="4">
        <f>+NPV(0.1,AE7:AE41)</f>
        <v>42.541785446623386</v>
      </c>
    </row>
    <row r="5" spans="2:31">
      <c r="C5" s="1" t="s">
        <v>0</v>
      </c>
      <c r="D5" s="1" t="s">
        <v>262</v>
      </c>
      <c r="E5" s="1" t="s">
        <v>205</v>
      </c>
      <c r="F5" s="1" t="s">
        <v>263</v>
      </c>
      <c r="G5" s="1" t="s">
        <v>1</v>
      </c>
      <c r="I5" s="1" t="s">
        <v>0</v>
      </c>
      <c r="J5" s="1" t="s">
        <v>262</v>
      </c>
      <c r="K5" s="1" t="s">
        <v>205</v>
      </c>
      <c r="L5" s="1" t="s">
        <v>263</v>
      </c>
      <c r="M5" s="1" t="s">
        <v>1</v>
      </c>
      <c r="O5" s="1" t="s">
        <v>0</v>
      </c>
      <c r="P5" s="1" t="s">
        <v>262</v>
      </c>
      <c r="Q5" s="1" t="s">
        <v>205</v>
      </c>
      <c r="R5" s="1" t="s">
        <v>263</v>
      </c>
      <c r="S5" s="1" t="s">
        <v>1</v>
      </c>
      <c r="U5" s="1" t="s">
        <v>0</v>
      </c>
      <c r="V5" s="1" t="s">
        <v>262</v>
      </c>
      <c r="W5" s="1" t="s">
        <v>205</v>
      </c>
      <c r="X5" s="1" t="s">
        <v>263</v>
      </c>
      <c r="Y5" s="1" t="s">
        <v>1</v>
      </c>
      <c r="Z5" s="3"/>
      <c r="AA5" s="1" t="s">
        <v>0</v>
      </c>
      <c r="AB5" s="1" t="s">
        <v>262</v>
      </c>
      <c r="AC5" s="1" t="s">
        <v>205</v>
      </c>
      <c r="AD5" s="1" t="s">
        <v>263</v>
      </c>
      <c r="AE5" s="1" t="s">
        <v>1</v>
      </c>
    </row>
    <row r="6" spans="2:31">
      <c r="B6" s="1">
        <v>2020</v>
      </c>
      <c r="D6" s="1">
        <v>100</v>
      </c>
      <c r="F6" s="1">
        <f>+(E6*D6)/100</f>
        <v>0</v>
      </c>
      <c r="G6" s="1">
        <f>+F6+C6</f>
        <v>0</v>
      </c>
      <c r="J6" s="1">
        <v>100</v>
      </c>
      <c r="L6" s="1">
        <f>+(K6*J6)/100</f>
        <v>0</v>
      </c>
      <c r="M6" s="1">
        <f t="shared" ref="M6:M21" si="0">+L6+I6</f>
        <v>0</v>
      </c>
      <c r="P6" s="1">
        <v>100</v>
      </c>
      <c r="R6" s="1">
        <f>+(Q6*P6)/100</f>
        <v>0</v>
      </c>
      <c r="S6" s="1">
        <f t="shared" ref="S6:S25" si="1">+R6+O6</f>
        <v>0</v>
      </c>
      <c r="V6" s="1">
        <v>100</v>
      </c>
      <c r="X6" s="1">
        <f>+(W6*V6)/100</f>
        <v>0</v>
      </c>
      <c r="Y6" s="1">
        <f t="shared" ref="Y6:Y29" si="2">+X6+U6</f>
        <v>0</v>
      </c>
      <c r="AB6" s="1">
        <v>100</v>
      </c>
      <c r="AD6" s="1">
        <f>+(AC6*AB6)/100</f>
        <v>0</v>
      </c>
      <c r="AE6" s="1">
        <f t="shared" ref="AE6:AE33" si="3">+AD6+AA6</f>
        <v>0</v>
      </c>
    </row>
    <row r="7" spans="2:31">
      <c r="B7" s="1">
        <v>2021</v>
      </c>
      <c r="D7" s="1">
        <f t="shared" ref="D7:D16" si="4">+D6-C7</f>
        <v>100</v>
      </c>
      <c r="F7" s="1">
        <f>+(E7*D7)/100</f>
        <v>0</v>
      </c>
      <c r="G7" s="1">
        <f t="shared" ref="G7:G16" si="5">+F7+C7</f>
        <v>0</v>
      </c>
      <c r="J7" s="1">
        <f t="shared" ref="J7:J16" si="6">+J6-I7</f>
        <v>100</v>
      </c>
      <c r="L7" s="1">
        <f>+(K7*J7)/100</f>
        <v>0</v>
      </c>
      <c r="M7" s="1">
        <f t="shared" si="0"/>
        <v>0</v>
      </c>
      <c r="P7" s="1">
        <f t="shared" ref="P7:P25" si="7">+P6-O7</f>
        <v>100</v>
      </c>
      <c r="R7" s="1">
        <f>+(Q7*P7)/100</f>
        <v>0</v>
      </c>
      <c r="S7" s="1">
        <f t="shared" si="1"/>
        <v>0</v>
      </c>
      <c r="V7" s="1">
        <f t="shared" ref="V7:V15" si="8">+V6-U7</f>
        <v>100</v>
      </c>
      <c r="X7" s="1">
        <f>+(W7*V7)/100</f>
        <v>0</v>
      </c>
      <c r="Y7" s="1">
        <f t="shared" si="2"/>
        <v>0</v>
      </c>
      <c r="AB7" s="1">
        <f t="shared" ref="AB7:AB15" si="9">+AB6-AA7</f>
        <v>100</v>
      </c>
      <c r="AD7" s="1">
        <f>+(AC7*AB7)/100</f>
        <v>0</v>
      </c>
      <c r="AE7" s="1">
        <f t="shared" si="3"/>
        <v>0</v>
      </c>
    </row>
    <row r="8" spans="2:31">
      <c r="B8" s="1">
        <f>B7+1</f>
        <v>2022</v>
      </c>
      <c r="D8" s="1">
        <f t="shared" si="4"/>
        <v>100</v>
      </c>
      <c r="F8" s="1">
        <f>+(E8*D8)/100</f>
        <v>0</v>
      </c>
      <c r="G8" s="1">
        <f t="shared" si="5"/>
        <v>0</v>
      </c>
      <c r="J8" s="1">
        <f t="shared" si="6"/>
        <v>100</v>
      </c>
      <c r="L8" s="1">
        <f>+(K8*J8)/100</f>
        <v>0</v>
      </c>
      <c r="M8" s="1">
        <f t="shared" si="0"/>
        <v>0</v>
      </c>
      <c r="P8" s="1">
        <f t="shared" si="7"/>
        <v>100</v>
      </c>
      <c r="R8" s="1">
        <f>+(Q8*P8)/100</f>
        <v>0</v>
      </c>
      <c r="S8" s="1">
        <f t="shared" si="1"/>
        <v>0</v>
      </c>
      <c r="V8" s="1">
        <f t="shared" si="8"/>
        <v>100</v>
      </c>
      <c r="X8" s="1">
        <f>+(W8*V8)/100</f>
        <v>0</v>
      </c>
      <c r="Y8" s="1">
        <f t="shared" si="2"/>
        <v>0</v>
      </c>
      <c r="AB8" s="1">
        <f t="shared" si="9"/>
        <v>100</v>
      </c>
      <c r="AD8" s="1">
        <f>+(AC8*AB8)/100</f>
        <v>0</v>
      </c>
      <c r="AE8" s="1">
        <f t="shared" si="3"/>
        <v>0</v>
      </c>
    </row>
    <row r="9" spans="2:31">
      <c r="B9" s="1">
        <f t="shared" ref="B9:B39" si="10">B8+1</f>
        <v>2023</v>
      </c>
      <c r="D9" s="1">
        <f t="shared" si="4"/>
        <v>100</v>
      </c>
      <c r="E9" s="1">
        <v>0.5</v>
      </c>
      <c r="F9" s="1">
        <f t="shared" ref="F9:F14" si="11">+(E9*D8)/100</f>
        <v>0.5</v>
      </c>
      <c r="G9" s="1">
        <f t="shared" si="5"/>
        <v>0.5</v>
      </c>
      <c r="J9" s="1">
        <f t="shared" si="6"/>
        <v>100</v>
      </c>
      <c r="K9" s="1">
        <v>0.5</v>
      </c>
      <c r="L9" s="1">
        <f t="shared" ref="L9:L14" si="12">+(K9*J8)/100</f>
        <v>0.5</v>
      </c>
      <c r="M9" s="1">
        <f t="shared" si="0"/>
        <v>0.5</v>
      </c>
      <c r="P9" s="1">
        <f t="shared" si="7"/>
        <v>100</v>
      </c>
      <c r="Q9" s="1">
        <v>0.6</v>
      </c>
      <c r="R9" s="1">
        <f t="shared" ref="R9:R14" si="13">+(Q9*P8)/100</f>
        <v>0.6</v>
      </c>
      <c r="S9" s="1">
        <f t="shared" si="1"/>
        <v>0.6</v>
      </c>
      <c r="V9" s="1">
        <f t="shared" si="8"/>
        <v>100</v>
      </c>
      <c r="W9" s="1">
        <v>0.6</v>
      </c>
      <c r="X9" s="1">
        <f t="shared" ref="X9:X29" si="14">+(W9*V8)/100</f>
        <v>0.6</v>
      </c>
      <c r="Y9" s="1">
        <f t="shared" si="2"/>
        <v>0.6</v>
      </c>
      <c r="AB9" s="1">
        <f t="shared" si="9"/>
        <v>100</v>
      </c>
      <c r="AC9" s="1">
        <v>0.5</v>
      </c>
      <c r="AD9" s="1">
        <f t="shared" ref="AD9:AD33" si="15">+(AC9*AB8)/100</f>
        <v>0.5</v>
      </c>
      <c r="AE9" s="1">
        <f t="shared" si="3"/>
        <v>0.5</v>
      </c>
    </row>
    <row r="10" spans="2:31">
      <c r="B10" s="1">
        <f t="shared" si="10"/>
        <v>2024</v>
      </c>
      <c r="D10" s="1">
        <f t="shared" si="4"/>
        <v>100</v>
      </c>
      <c r="E10" s="1">
        <v>0.5</v>
      </c>
      <c r="F10" s="1">
        <f t="shared" si="11"/>
        <v>0.5</v>
      </c>
      <c r="G10" s="1">
        <f t="shared" si="5"/>
        <v>0.5</v>
      </c>
      <c r="J10" s="1">
        <f t="shared" si="6"/>
        <v>100</v>
      </c>
      <c r="K10" s="1">
        <v>1.5</v>
      </c>
      <c r="L10" s="1">
        <f t="shared" si="12"/>
        <v>1.5</v>
      </c>
      <c r="M10" s="1">
        <f t="shared" si="0"/>
        <v>1.5</v>
      </c>
      <c r="P10" s="1">
        <f t="shared" si="7"/>
        <v>100</v>
      </c>
      <c r="Q10" s="1">
        <v>1.75</v>
      </c>
      <c r="R10" s="1">
        <f t="shared" si="13"/>
        <v>1.75</v>
      </c>
      <c r="S10" s="1">
        <f t="shared" si="1"/>
        <v>1.75</v>
      </c>
      <c r="V10" s="1">
        <f t="shared" si="8"/>
        <v>100</v>
      </c>
      <c r="W10" s="1">
        <v>3</v>
      </c>
      <c r="X10" s="1">
        <f t="shared" si="14"/>
        <v>3</v>
      </c>
      <c r="Y10" s="1">
        <f t="shared" si="2"/>
        <v>3</v>
      </c>
      <c r="AB10" s="1">
        <f t="shared" si="9"/>
        <v>100</v>
      </c>
      <c r="AC10" s="1">
        <v>1.75</v>
      </c>
      <c r="AD10" s="1">
        <f t="shared" si="15"/>
        <v>1.75</v>
      </c>
      <c r="AE10" s="1">
        <f t="shared" si="3"/>
        <v>1.75</v>
      </c>
    </row>
    <row r="11" spans="2:31">
      <c r="B11" s="1">
        <f t="shared" si="10"/>
        <v>2025</v>
      </c>
      <c r="D11" s="1">
        <f t="shared" si="4"/>
        <v>100</v>
      </c>
      <c r="E11" s="1">
        <v>0.5</v>
      </c>
      <c r="F11" s="1">
        <f t="shared" si="11"/>
        <v>0.5</v>
      </c>
      <c r="G11" s="1">
        <f t="shared" si="5"/>
        <v>0.5</v>
      </c>
      <c r="J11" s="1">
        <f t="shared" si="6"/>
        <v>100</v>
      </c>
      <c r="K11" s="1">
        <v>1.5</v>
      </c>
      <c r="L11" s="1">
        <f t="shared" si="12"/>
        <v>1.5</v>
      </c>
      <c r="M11" s="1">
        <f t="shared" si="0"/>
        <v>1.5</v>
      </c>
      <c r="P11" s="1">
        <f t="shared" si="7"/>
        <v>100</v>
      </c>
      <c r="Q11" s="1">
        <v>1.75</v>
      </c>
      <c r="R11" s="1">
        <f t="shared" si="13"/>
        <v>1.75</v>
      </c>
      <c r="S11" s="1">
        <f t="shared" si="1"/>
        <v>1.75</v>
      </c>
      <c r="V11" s="1">
        <f t="shared" si="8"/>
        <v>100</v>
      </c>
      <c r="W11" s="1">
        <v>3</v>
      </c>
      <c r="X11" s="1">
        <f t="shared" si="14"/>
        <v>3</v>
      </c>
      <c r="Y11" s="1">
        <f t="shared" si="2"/>
        <v>3</v>
      </c>
      <c r="AB11" s="1">
        <f t="shared" si="9"/>
        <v>100</v>
      </c>
      <c r="AC11" s="1">
        <v>1.75</v>
      </c>
      <c r="AD11" s="1">
        <f t="shared" si="15"/>
        <v>1.75</v>
      </c>
      <c r="AE11" s="1">
        <f t="shared" si="3"/>
        <v>1.75</v>
      </c>
    </row>
    <row r="12" spans="2:31">
      <c r="B12" s="1">
        <f t="shared" si="10"/>
        <v>2026</v>
      </c>
      <c r="C12" s="1">
        <v>20</v>
      </c>
      <c r="D12" s="1">
        <f t="shared" si="4"/>
        <v>80</v>
      </c>
      <c r="E12" s="1">
        <v>1</v>
      </c>
      <c r="F12" s="1">
        <f t="shared" si="11"/>
        <v>1</v>
      </c>
      <c r="G12" s="1">
        <f t="shared" si="5"/>
        <v>21</v>
      </c>
      <c r="J12" s="1">
        <f t="shared" si="6"/>
        <v>100</v>
      </c>
      <c r="K12" s="1">
        <v>2.75</v>
      </c>
      <c r="L12" s="1">
        <f t="shared" si="12"/>
        <v>2.75</v>
      </c>
      <c r="M12" s="1">
        <f t="shared" si="0"/>
        <v>2.75</v>
      </c>
      <c r="P12" s="1">
        <f t="shared" si="7"/>
        <v>100</v>
      </c>
      <c r="Q12" s="1">
        <v>4</v>
      </c>
      <c r="R12" s="1">
        <f t="shared" si="13"/>
        <v>4</v>
      </c>
      <c r="S12" s="1">
        <f t="shared" si="1"/>
        <v>4</v>
      </c>
      <c r="V12" s="1">
        <f t="shared" si="8"/>
        <v>100</v>
      </c>
      <c r="W12" s="1">
        <v>3.625</v>
      </c>
      <c r="X12" s="1">
        <f t="shared" si="14"/>
        <v>3.625</v>
      </c>
      <c r="Y12" s="1">
        <f t="shared" si="2"/>
        <v>3.625</v>
      </c>
      <c r="AB12" s="1">
        <f t="shared" si="9"/>
        <v>100</v>
      </c>
      <c r="AC12" s="1">
        <v>3.75</v>
      </c>
      <c r="AD12" s="1">
        <f t="shared" si="15"/>
        <v>3.75</v>
      </c>
      <c r="AE12" s="1">
        <f t="shared" si="3"/>
        <v>3.75</v>
      </c>
    </row>
    <row r="13" spans="2:31">
      <c r="B13" s="1">
        <f t="shared" si="10"/>
        <v>2027</v>
      </c>
      <c r="C13" s="1">
        <v>20</v>
      </c>
      <c r="D13" s="1">
        <f t="shared" si="4"/>
        <v>60</v>
      </c>
      <c r="E13" s="1">
        <v>1</v>
      </c>
      <c r="F13" s="1">
        <f t="shared" si="11"/>
        <v>0.8</v>
      </c>
      <c r="G13" s="1">
        <f t="shared" si="5"/>
        <v>20.8</v>
      </c>
      <c r="J13" s="1">
        <f t="shared" si="6"/>
        <v>100</v>
      </c>
      <c r="K13" s="1">
        <v>2.75</v>
      </c>
      <c r="L13" s="1">
        <f t="shared" si="12"/>
        <v>2.75</v>
      </c>
      <c r="M13" s="1">
        <f t="shared" si="0"/>
        <v>2.75</v>
      </c>
      <c r="P13" s="1">
        <f t="shared" si="7"/>
        <v>100</v>
      </c>
      <c r="Q13" s="1">
        <v>4</v>
      </c>
      <c r="R13" s="1">
        <f t="shared" si="13"/>
        <v>4</v>
      </c>
      <c r="S13" s="1">
        <f t="shared" si="1"/>
        <v>4</v>
      </c>
      <c r="V13" s="1">
        <f t="shared" si="8"/>
        <v>100</v>
      </c>
      <c r="W13" s="1">
        <v>3.625</v>
      </c>
      <c r="X13" s="1">
        <f t="shared" si="14"/>
        <v>3.625</v>
      </c>
      <c r="Y13" s="1">
        <f t="shared" si="2"/>
        <v>3.625</v>
      </c>
      <c r="AB13" s="1">
        <f t="shared" si="9"/>
        <v>100</v>
      </c>
      <c r="AC13" s="1">
        <v>3.75</v>
      </c>
      <c r="AD13" s="1">
        <f t="shared" si="15"/>
        <v>3.75</v>
      </c>
      <c r="AE13" s="1">
        <f t="shared" si="3"/>
        <v>3.75</v>
      </c>
    </row>
    <row r="14" spans="2:31">
      <c r="B14" s="1">
        <f t="shared" si="10"/>
        <v>2028</v>
      </c>
      <c r="C14" s="1">
        <v>20</v>
      </c>
      <c r="D14" s="1">
        <f t="shared" si="4"/>
        <v>40</v>
      </c>
      <c r="E14" s="1">
        <v>1.75</v>
      </c>
      <c r="F14" s="1">
        <f t="shared" si="11"/>
        <v>1.05</v>
      </c>
      <c r="G14" s="1">
        <f t="shared" si="5"/>
        <v>21.05</v>
      </c>
      <c r="J14" s="1">
        <f t="shared" si="6"/>
        <v>100</v>
      </c>
      <c r="K14" s="1">
        <v>3.875</v>
      </c>
      <c r="L14" s="1">
        <f t="shared" si="12"/>
        <v>3.875</v>
      </c>
      <c r="M14" s="1">
        <f t="shared" si="0"/>
        <v>3.875</v>
      </c>
      <c r="P14" s="1">
        <f t="shared" si="7"/>
        <v>100</v>
      </c>
      <c r="Q14" s="1">
        <v>4.5</v>
      </c>
      <c r="R14" s="1">
        <f t="shared" si="13"/>
        <v>4.5</v>
      </c>
      <c r="S14" s="1">
        <f t="shared" si="1"/>
        <v>4.5</v>
      </c>
      <c r="V14" s="1">
        <f t="shared" si="8"/>
        <v>100</v>
      </c>
      <c r="W14" s="1">
        <v>3.625</v>
      </c>
      <c r="X14" s="1">
        <f t="shared" si="14"/>
        <v>3.625</v>
      </c>
      <c r="Y14" s="1">
        <f t="shared" si="2"/>
        <v>3.625</v>
      </c>
      <c r="AA14" s="1">
        <f>100/20</f>
        <v>5</v>
      </c>
      <c r="AB14" s="1">
        <f t="shared" si="9"/>
        <v>95</v>
      </c>
      <c r="AC14" s="1">
        <v>4.75</v>
      </c>
      <c r="AD14" s="1">
        <f t="shared" si="15"/>
        <v>4.75</v>
      </c>
      <c r="AE14" s="1">
        <f t="shared" si="3"/>
        <v>9.75</v>
      </c>
    </row>
    <row r="15" spans="2:31">
      <c r="B15" s="1">
        <f t="shared" si="10"/>
        <v>2029</v>
      </c>
      <c r="C15" s="1">
        <v>20</v>
      </c>
      <c r="D15" s="1">
        <f t="shared" si="4"/>
        <v>20</v>
      </c>
      <c r="E15" s="1">
        <v>1.75</v>
      </c>
      <c r="F15" s="1">
        <f>+(E15*D14)/100</f>
        <v>0.7</v>
      </c>
      <c r="G15" s="1">
        <f t="shared" si="5"/>
        <v>20.7</v>
      </c>
      <c r="J15" s="1">
        <f t="shared" si="6"/>
        <v>100</v>
      </c>
      <c r="K15" s="1">
        <v>3.875</v>
      </c>
      <c r="L15" s="1">
        <f>+(K15*J14)/100</f>
        <v>3.875</v>
      </c>
      <c r="M15" s="1">
        <f t="shared" si="0"/>
        <v>3.875</v>
      </c>
      <c r="O15" s="1">
        <f>100/11</f>
        <v>9.0909090909090917</v>
      </c>
      <c r="P15" s="1">
        <f t="shared" si="7"/>
        <v>90.909090909090907</v>
      </c>
      <c r="Q15" s="1">
        <v>4.5</v>
      </c>
      <c r="R15" s="1">
        <f>+(Q15*P14)/100</f>
        <v>4.5</v>
      </c>
      <c r="S15" s="1">
        <f t="shared" si="1"/>
        <v>13.590909090909092</v>
      </c>
      <c r="V15" s="1">
        <f t="shared" si="8"/>
        <v>100</v>
      </c>
      <c r="W15" s="1">
        <v>3.625</v>
      </c>
      <c r="X15" s="1">
        <f t="shared" si="14"/>
        <v>3.625</v>
      </c>
      <c r="Y15" s="1">
        <f t="shared" si="2"/>
        <v>3.625</v>
      </c>
      <c r="AA15" s="1">
        <f t="shared" ref="AA15:AA33" si="16">100/20</f>
        <v>5</v>
      </c>
      <c r="AB15" s="1">
        <f t="shared" si="9"/>
        <v>90</v>
      </c>
      <c r="AC15" s="1">
        <v>4.75</v>
      </c>
      <c r="AD15" s="1">
        <f t="shared" si="15"/>
        <v>4.5125000000000002</v>
      </c>
      <c r="AE15" s="1">
        <f t="shared" si="3"/>
        <v>9.5124999999999993</v>
      </c>
    </row>
    <row r="16" spans="2:31">
      <c r="B16" s="1">
        <f t="shared" si="10"/>
        <v>2030</v>
      </c>
      <c r="C16" s="1">
        <v>20</v>
      </c>
      <c r="D16" s="1">
        <f t="shared" si="4"/>
        <v>0</v>
      </c>
      <c r="E16" s="1">
        <v>1.75</v>
      </c>
      <c r="F16" s="1">
        <f t="shared" ref="F16" si="17">+(E16*D15)/100</f>
        <v>0.35</v>
      </c>
      <c r="G16" s="1">
        <f t="shared" si="5"/>
        <v>20.350000000000001</v>
      </c>
      <c r="J16" s="1">
        <f t="shared" si="6"/>
        <v>100</v>
      </c>
      <c r="K16" s="1">
        <v>3.875</v>
      </c>
      <c r="L16" s="1">
        <f t="shared" ref="L16:L22" si="18">+(K16*J15)/100</f>
        <v>3.875</v>
      </c>
      <c r="M16" s="1">
        <f t="shared" si="0"/>
        <v>3.875</v>
      </c>
      <c r="O16" s="1">
        <f t="shared" ref="O16:O25" si="19">100/11</f>
        <v>9.0909090909090917</v>
      </c>
      <c r="P16" s="1">
        <f t="shared" si="7"/>
        <v>81.818181818181813</v>
      </c>
      <c r="Q16" s="1">
        <v>4.5</v>
      </c>
      <c r="R16" s="1">
        <f t="shared" ref="R16:R25" si="20">+(Q16*P15)/100</f>
        <v>4.0909090909090908</v>
      </c>
      <c r="S16" s="1">
        <f t="shared" si="1"/>
        <v>13.181818181818183</v>
      </c>
      <c r="U16" s="1">
        <f t="shared" ref="U16:U29" si="21">100/14</f>
        <v>7.1428571428571432</v>
      </c>
      <c r="V16" s="1">
        <f t="shared" ref="V16:V29" si="22">+V15-U16</f>
        <v>92.857142857142861</v>
      </c>
      <c r="W16" s="1">
        <v>4.875</v>
      </c>
      <c r="X16" s="1">
        <f t="shared" si="14"/>
        <v>4.875</v>
      </c>
      <c r="Y16" s="1">
        <f t="shared" si="2"/>
        <v>12.017857142857142</v>
      </c>
      <c r="AA16" s="1">
        <f t="shared" si="16"/>
        <v>5</v>
      </c>
      <c r="AB16" s="1">
        <f t="shared" ref="AB16:AB33" si="23">+AB15-AA16</f>
        <v>85</v>
      </c>
      <c r="AC16" s="1">
        <v>4.75</v>
      </c>
      <c r="AD16" s="1">
        <f t="shared" si="15"/>
        <v>4.2750000000000004</v>
      </c>
      <c r="AE16" s="1">
        <f t="shared" si="3"/>
        <v>9.2750000000000004</v>
      </c>
    </row>
    <row r="17" spans="2:31">
      <c r="B17" s="1">
        <f t="shared" si="10"/>
        <v>2031</v>
      </c>
      <c r="I17" s="1">
        <f>100/6</f>
        <v>16.666666666666668</v>
      </c>
      <c r="J17" s="1">
        <f t="shared" ref="J17:J22" si="24">+J16-I17</f>
        <v>83.333333333333329</v>
      </c>
      <c r="K17" s="1">
        <v>3.875</v>
      </c>
      <c r="L17" s="1">
        <f t="shared" si="18"/>
        <v>3.875</v>
      </c>
      <c r="M17" s="1">
        <f t="shared" si="0"/>
        <v>20.541666666666668</v>
      </c>
      <c r="O17" s="1">
        <f t="shared" si="19"/>
        <v>9.0909090909090917</v>
      </c>
      <c r="P17" s="1">
        <f t="shared" si="7"/>
        <v>72.72727272727272</v>
      </c>
      <c r="Q17" s="1">
        <v>4.5</v>
      </c>
      <c r="R17" s="1">
        <f t="shared" si="20"/>
        <v>3.6818181818181812</v>
      </c>
      <c r="S17" s="1">
        <f t="shared" si="1"/>
        <v>12.772727272727273</v>
      </c>
      <c r="U17" s="1">
        <f t="shared" si="21"/>
        <v>7.1428571428571432</v>
      </c>
      <c r="V17" s="1">
        <f t="shared" si="22"/>
        <v>85.714285714285722</v>
      </c>
      <c r="W17" s="1">
        <v>4.875</v>
      </c>
      <c r="X17" s="1">
        <f t="shared" si="14"/>
        <v>4.5267857142857144</v>
      </c>
      <c r="Y17" s="1">
        <f t="shared" si="2"/>
        <v>11.669642857142858</v>
      </c>
      <c r="AA17" s="1">
        <f t="shared" si="16"/>
        <v>5</v>
      </c>
      <c r="AB17" s="1">
        <f t="shared" si="23"/>
        <v>80</v>
      </c>
      <c r="AC17" s="1">
        <v>4.75</v>
      </c>
      <c r="AD17" s="1">
        <f t="shared" si="15"/>
        <v>4.0374999999999996</v>
      </c>
      <c r="AE17" s="1">
        <f t="shared" si="3"/>
        <v>9.0374999999999996</v>
      </c>
    </row>
    <row r="18" spans="2:31">
      <c r="B18" s="1">
        <f t="shared" si="10"/>
        <v>2032</v>
      </c>
      <c r="I18" s="1">
        <f>+I17</f>
        <v>16.666666666666668</v>
      </c>
      <c r="J18" s="1">
        <f t="shared" si="24"/>
        <v>66.666666666666657</v>
      </c>
      <c r="K18" s="1">
        <v>3.875</v>
      </c>
      <c r="L18" s="1">
        <f t="shared" si="18"/>
        <v>3.2291666666666661</v>
      </c>
      <c r="M18" s="1">
        <f t="shared" si="0"/>
        <v>19.895833333333336</v>
      </c>
      <c r="O18" s="1">
        <f t="shared" si="19"/>
        <v>9.0909090909090917</v>
      </c>
      <c r="P18" s="1">
        <f t="shared" si="7"/>
        <v>63.636363636363626</v>
      </c>
      <c r="Q18" s="1">
        <v>4.5</v>
      </c>
      <c r="R18" s="1">
        <f t="shared" si="20"/>
        <v>3.2727272727272725</v>
      </c>
      <c r="S18" s="1">
        <f t="shared" si="1"/>
        <v>12.363636363636363</v>
      </c>
      <c r="U18" s="1">
        <f t="shared" si="21"/>
        <v>7.1428571428571432</v>
      </c>
      <c r="V18" s="1">
        <f t="shared" si="22"/>
        <v>78.571428571428584</v>
      </c>
      <c r="W18" s="1">
        <v>4.875</v>
      </c>
      <c r="X18" s="1">
        <f t="shared" si="14"/>
        <v>4.1785714285714288</v>
      </c>
      <c r="Y18" s="1">
        <f t="shared" si="2"/>
        <v>11.321428571428573</v>
      </c>
      <c r="AA18" s="1">
        <f t="shared" si="16"/>
        <v>5</v>
      </c>
      <c r="AB18" s="1">
        <f t="shared" si="23"/>
        <v>75</v>
      </c>
      <c r="AC18" s="1">
        <v>4.75</v>
      </c>
      <c r="AD18" s="1">
        <f t="shared" si="15"/>
        <v>3.8</v>
      </c>
      <c r="AE18" s="1">
        <f t="shared" si="3"/>
        <v>8.8000000000000007</v>
      </c>
    </row>
    <row r="19" spans="2:31">
      <c r="B19" s="1">
        <f t="shared" si="10"/>
        <v>2033</v>
      </c>
      <c r="I19" s="1">
        <f>+I18</f>
        <v>16.666666666666668</v>
      </c>
      <c r="J19" s="1">
        <f t="shared" si="24"/>
        <v>49.999999999999986</v>
      </c>
      <c r="K19" s="1">
        <v>3.875</v>
      </c>
      <c r="L19" s="1">
        <f t="shared" si="18"/>
        <v>2.583333333333333</v>
      </c>
      <c r="M19" s="1">
        <f t="shared" si="0"/>
        <v>19.25</v>
      </c>
      <c r="O19" s="1">
        <f t="shared" si="19"/>
        <v>9.0909090909090917</v>
      </c>
      <c r="P19" s="1">
        <f t="shared" si="7"/>
        <v>54.545454545454533</v>
      </c>
      <c r="Q19" s="1">
        <v>4.5</v>
      </c>
      <c r="R19" s="1">
        <f t="shared" si="20"/>
        <v>2.8636363636363633</v>
      </c>
      <c r="S19" s="1">
        <f t="shared" si="1"/>
        <v>11.954545454545455</v>
      </c>
      <c r="U19" s="1">
        <f t="shared" si="21"/>
        <v>7.1428571428571432</v>
      </c>
      <c r="V19" s="1">
        <f t="shared" si="22"/>
        <v>71.428571428571445</v>
      </c>
      <c r="W19" s="1">
        <v>4.875</v>
      </c>
      <c r="X19" s="1">
        <f t="shared" si="14"/>
        <v>3.8303571428571432</v>
      </c>
      <c r="Y19" s="1">
        <f t="shared" si="2"/>
        <v>10.973214285714286</v>
      </c>
      <c r="AA19" s="1">
        <f t="shared" si="16"/>
        <v>5</v>
      </c>
      <c r="AB19" s="1">
        <f t="shared" si="23"/>
        <v>70</v>
      </c>
      <c r="AC19" s="1">
        <v>4.75</v>
      </c>
      <c r="AD19" s="1">
        <f t="shared" si="15"/>
        <v>3.5625</v>
      </c>
      <c r="AE19" s="1">
        <f t="shared" si="3"/>
        <v>8.5625</v>
      </c>
    </row>
    <row r="20" spans="2:31">
      <c r="B20" s="1">
        <f t="shared" si="10"/>
        <v>2034</v>
      </c>
      <c r="I20" s="1">
        <f>+I19</f>
        <v>16.666666666666668</v>
      </c>
      <c r="J20" s="1">
        <f t="shared" si="24"/>
        <v>33.333333333333314</v>
      </c>
      <c r="K20" s="1">
        <v>3.875</v>
      </c>
      <c r="L20" s="1">
        <f t="shared" si="18"/>
        <v>1.9374999999999993</v>
      </c>
      <c r="M20" s="1">
        <f t="shared" si="0"/>
        <v>18.604166666666668</v>
      </c>
      <c r="O20" s="1">
        <f t="shared" si="19"/>
        <v>9.0909090909090917</v>
      </c>
      <c r="P20" s="1">
        <f t="shared" si="7"/>
        <v>45.454545454545439</v>
      </c>
      <c r="Q20" s="1">
        <v>4.5</v>
      </c>
      <c r="R20" s="1">
        <f t="shared" si="20"/>
        <v>2.4545454545454537</v>
      </c>
      <c r="S20" s="1">
        <f t="shared" si="1"/>
        <v>11.545454545454545</v>
      </c>
      <c r="U20" s="1">
        <f t="shared" si="21"/>
        <v>7.1428571428571432</v>
      </c>
      <c r="V20" s="1">
        <f t="shared" si="22"/>
        <v>64.285714285714306</v>
      </c>
      <c r="W20" s="1">
        <v>4.875</v>
      </c>
      <c r="X20" s="1">
        <f t="shared" si="14"/>
        <v>3.4821428571428577</v>
      </c>
      <c r="Y20" s="1">
        <f t="shared" si="2"/>
        <v>10.625</v>
      </c>
      <c r="AA20" s="1">
        <f t="shared" si="16"/>
        <v>5</v>
      </c>
      <c r="AB20" s="1">
        <f t="shared" si="23"/>
        <v>65</v>
      </c>
      <c r="AC20" s="1">
        <v>4.75</v>
      </c>
      <c r="AD20" s="1">
        <f t="shared" si="15"/>
        <v>3.3250000000000002</v>
      </c>
      <c r="AE20" s="1">
        <f t="shared" si="3"/>
        <v>8.3249999999999993</v>
      </c>
    </row>
    <row r="21" spans="2:31">
      <c r="B21" s="1">
        <f t="shared" si="10"/>
        <v>2035</v>
      </c>
      <c r="I21" s="1">
        <f>+I20</f>
        <v>16.666666666666668</v>
      </c>
      <c r="J21" s="1">
        <f t="shared" si="24"/>
        <v>16.666666666666647</v>
      </c>
      <c r="K21" s="1">
        <v>3.875</v>
      </c>
      <c r="L21" s="1">
        <f t="shared" si="18"/>
        <v>1.2916666666666661</v>
      </c>
      <c r="M21" s="1">
        <f t="shared" si="0"/>
        <v>17.958333333333336</v>
      </c>
      <c r="O21" s="1">
        <f t="shared" si="19"/>
        <v>9.0909090909090917</v>
      </c>
      <c r="P21" s="1">
        <f t="shared" si="7"/>
        <v>36.363636363636346</v>
      </c>
      <c r="Q21" s="1">
        <v>4.5</v>
      </c>
      <c r="R21" s="1">
        <f t="shared" si="20"/>
        <v>2.045454545454545</v>
      </c>
      <c r="S21" s="1">
        <f t="shared" si="1"/>
        <v>11.136363636363637</v>
      </c>
      <c r="U21" s="1">
        <f t="shared" si="21"/>
        <v>7.1428571428571432</v>
      </c>
      <c r="V21" s="1">
        <f t="shared" si="22"/>
        <v>57.14285714285716</v>
      </c>
      <c r="W21" s="1">
        <v>4.875</v>
      </c>
      <c r="X21" s="1">
        <f t="shared" si="14"/>
        <v>3.1339285714285721</v>
      </c>
      <c r="Y21" s="1">
        <f t="shared" si="2"/>
        <v>10.276785714285715</v>
      </c>
      <c r="AA21" s="1">
        <f t="shared" si="16"/>
        <v>5</v>
      </c>
      <c r="AB21" s="1">
        <f t="shared" si="23"/>
        <v>60</v>
      </c>
      <c r="AC21" s="1">
        <v>4.75</v>
      </c>
      <c r="AD21" s="1">
        <f t="shared" si="15"/>
        <v>3.0874999999999999</v>
      </c>
      <c r="AE21" s="1">
        <f t="shared" si="3"/>
        <v>8.0875000000000004</v>
      </c>
    </row>
    <row r="22" spans="2:31">
      <c r="B22" s="1">
        <f t="shared" si="10"/>
        <v>2036</v>
      </c>
      <c r="I22" s="1">
        <f>+I21</f>
        <v>16.666666666666668</v>
      </c>
      <c r="J22" s="1">
        <f t="shared" si="24"/>
        <v>0</v>
      </c>
      <c r="K22" s="1">
        <v>3.875</v>
      </c>
      <c r="L22" s="1">
        <f t="shared" si="18"/>
        <v>0.64583333333333259</v>
      </c>
      <c r="M22" s="1">
        <f>+L22+I22</f>
        <v>17.3125</v>
      </c>
      <c r="O22" s="1">
        <f t="shared" si="19"/>
        <v>9.0909090909090917</v>
      </c>
      <c r="P22" s="1">
        <f t="shared" si="7"/>
        <v>27.272727272727252</v>
      </c>
      <c r="Q22" s="1">
        <v>4.5</v>
      </c>
      <c r="R22" s="1">
        <f t="shared" si="20"/>
        <v>1.6363636363636358</v>
      </c>
      <c r="S22" s="1">
        <f t="shared" si="1"/>
        <v>10.727272727272727</v>
      </c>
      <c r="U22" s="1">
        <f t="shared" si="21"/>
        <v>7.1428571428571432</v>
      </c>
      <c r="V22" s="1">
        <f t="shared" si="22"/>
        <v>50.000000000000014</v>
      </c>
      <c r="W22" s="1">
        <v>4.875</v>
      </c>
      <c r="X22" s="1">
        <f t="shared" si="14"/>
        <v>2.7857142857142865</v>
      </c>
      <c r="Y22" s="1">
        <f t="shared" si="2"/>
        <v>9.9285714285714306</v>
      </c>
      <c r="AA22" s="1">
        <f t="shared" si="16"/>
        <v>5</v>
      </c>
      <c r="AB22" s="1">
        <f t="shared" si="23"/>
        <v>55</v>
      </c>
      <c r="AC22" s="1">
        <v>4.75</v>
      </c>
      <c r="AD22" s="1">
        <f t="shared" si="15"/>
        <v>2.85</v>
      </c>
      <c r="AE22" s="1">
        <f t="shared" si="3"/>
        <v>7.85</v>
      </c>
    </row>
    <row r="23" spans="2:31">
      <c r="B23" s="1">
        <f t="shared" si="10"/>
        <v>2037</v>
      </c>
      <c r="O23" s="1">
        <f t="shared" si="19"/>
        <v>9.0909090909090917</v>
      </c>
      <c r="P23" s="1">
        <f t="shared" si="7"/>
        <v>18.181818181818159</v>
      </c>
      <c r="Q23" s="1">
        <v>4.5</v>
      </c>
      <c r="R23" s="1">
        <f t="shared" si="20"/>
        <v>1.2272727272727264</v>
      </c>
      <c r="S23" s="1">
        <f t="shared" si="1"/>
        <v>10.318181818181818</v>
      </c>
      <c r="U23" s="1">
        <f t="shared" si="21"/>
        <v>7.1428571428571432</v>
      </c>
      <c r="V23" s="1">
        <f t="shared" si="22"/>
        <v>42.857142857142868</v>
      </c>
      <c r="W23" s="1">
        <v>4.875</v>
      </c>
      <c r="X23" s="1">
        <f t="shared" si="14"/>
        <v>2.4375000000000004</v>
      </c>
      <c r="Y23" s="1">
        <f t="shared" si="2"/>
        <v>9.5803571428571441</v>
      </c>
      <c r="AA23" s="1">
        <f t="shared" si="16"/>
        <v>5</v>
      </c>
      <c r="AB23" s="1">
        <f t="shared" si="23"/>
        <v>50</v>
      </c>
      <c r="AC23" s="1">
        <v>4.75</v>
      </c>
      <c r="AD23" s="1">
        <f t="shared" si="15"/>
        <v>2.6124999999999998</v>
      </c>
      <c r="AE23" s="1">
        <f t="shared" si="3"/>
        <v>7.6124999999999998</v>
      </c>
    </row>
    <row r="24" spans="2:31">
      <c r="B24" s="1">
        <f t="shared" si="10"/>
        <v>2038</v>
      </c>
      <c r="O24" s="1">
        <f t="shared" si="19"/>
        <v>9.0909090909090917</v>
      </c>
      <c r="P24" s="1">
        <f t="shared" si="7"/>
        <v>9.0909090909090668</v>
      </c>
      <c r="Q24" s="1">
        <v>4.5</v>
      </c>
      <c r="R24" s="1">
        <f t="shared" si="20"/>
        <v>0.81818181818181712</v>
      </c>
      <c r="S24" s="1">
        <f t="shared" si="1"/>
        <v>9.9090909090909083</v>
      </c>
      <c r="U24" s="1">
        <f t="shared" si="21"/>
        <v>7.1428571428571432</v>
      </c>
      <c r="V24" s="1">
        <f t="shared" si="22"/>
        <v>35.714285714285722</v>
      </c>
      <c r="W24" s="1">
        <v>4.875</v>
      </c>
      <c r="X24" s="1">
        <f t="shared" si="14"/>
        <v>2.0892857142857149</v>
      </c>
      <c r="Y24" s="1">
        <f t="shared" si="2"/>
        <v>9.2321428571428577</v>
      </c>
      <c r="AA24" s="1">
        <f t="shared" si="16"/>
        <v>5</v>
      </c>
      <c r="AB24" s="1">
        <f t="shared" si="23"/>
        <v>45</v>
      </c>
      <c r="AC24" s="1">
        <v>4.75</v>
      </c>
      <c r="AD24" s="1">
        <f t="shared" si="15"/>
        <v>2.375</v>
      </c>
      <c r="AE24" s="1">
        <f t="shared" si="3"/>
        <v>7.375</v>
      </c>
    </row>
    <row r="25" spans="2:31">
      <c r="B25" s="1">
        <f t="shared" si="10"/>
        <v>2039</v>
      </c>
      <c r="O25" s="1">
        <f t="shared" si="19"/>
        <v>9.0909090909090917</v>
      </c>
      <c r="P25" s="1">
        <f t="shared" si="7"/>
        <v>-2.4868995751603507E-14</v>
      </c>
      <c r="Q25" s="1">
        <v>4.5</v>
      </c>
      <c r="R25" s="1">
        <f t="shared" si="20"/>
        <v>0.40909090909090801</v>
      </c>
      <c r="S25" s="1">
        <f t="shared" si="1"/>
        <v>9.5</v>
      </c>
      <c r="U25" s="1">
        <f t="shared" si="21"/>
        <v>7.1428571428571432</v>
      </c>
      <c r="V25" s="1">
        <f t="shared" si="22"/>
        <v>28.57142857142858</v>
      </c>
      <c r="W25" s="1">
        <v>4.875</v>
      </c>
      <c r="X25" s="1">
        <f t="shared" si="14"/>
        <v>1.7410714285714288</v>
      </c>
      <c r="Y25" s="1">
        <f t="shared" si="2"/>
        <v>8.883928571428573</v>
      </c>
      <c r="AA25" s="1">
        <f t="shared" si="16"/>
        <v>5</v>
      </c>
      <c r="AB25" s="1">
        <f t="shared" si="23"/>
        <v>40</v>
      </c>
      <c r="AC25" s="1">
        <v>4.75</v>
      </c>
      <c r="AD25" s="1">
        <f t="shared" si="15"/>
        <v>2.1375000000000002</v>
      </c>
      <c r="AE25" s="1">
        <f t="shared" si="3"/>
        <v>7.1375000000000002</v>
      </c>
    </row>
    <row r="26" spans="2:31">
      <c r="B26" s="1">
        <f t="shared" si="10"/>
        <v>2040</v>
      </c>
      <c r="U26" s="1">
        <f t="shared" si="21"/>
        <v>7.1428571428571432</v>
      </c>
      <c r="V26" s="1">
        <f t="shared" si="22"/>
        <v>21.428571428571438</v>
      </c>
      <c r="W26" s="1">
        <v>4.875</v>
      </c>
      <c r="X26" s="1">
        <f t="shared" si="14"/>
        <v>1.3928571428571432</v>
      </c>
      <c r="Y26" s="1">
        <f t="shared" si="2"/>
        <v>8.5357142857142865</v>
      </c>
      <c r="AA26" s="1">
        <f t="shared" si="16"/>
        <v>5</v>
      </c>
      <c r="AB26" s="1">
        <f t="shared" si="23"/>
        <v>35</v>
      </c>
      <c r="AC26" s="1">
        <v>4.75</v>
      </c>
      <c r="AD26" s="1">
        <f t="shared" si="15"/>
        <v>1.9</v>
      </c>
      <c r="AE26" s="1">
        <f t="shared" si="3"/>
        <v>6.9</v>
      </c>
    </row>
    <row r="27" spans="2:31">
      <c r="B27" s="1">
        <f t="shared" si="10"/>
        <v>2041</v>
      </c>
      <c r="U27" s="1">
        <f t="shared" si="21"/>
        <v>7.1428571428571432</v>
      </c>
      <c r="V27" s="1">
        <f t="shared" si="22"/>
        <v>14.285714285714295</v>
      </c>
      <c r="W27" s="1">
        <v>4.875</v>
      </c>
      <c r="X27" s="1">
        <f t="shared" si="14"/>
        <v>1.0446428571428577</v>
      </c>
      <c r="Y27" s="1">
        <f t="shared" si="2"/>
        <v>8.1875</v>
      </c>
      <c r="AA27" s="1">
        <f t="shared" si="16"/>
        <v>5</v>
      </c>
      <c r="AB27" s="1">
        <f t="shared" si="23"/>
        <v>30</v>
      </c>
      <c r="AC27" s="1">
        <v>4.75</v>
      </c>
      <c r="AD27" s="1">
        <f t="shared" si="15"/>
        <v>1.6625000000000001</v>
      </c>
      <c r="AE27" s="1">
        <f t="shared" si="3"/>
        <v>6.6624999999999996</v>
      </c>
    </row>
    <row r="28" spans="2:31">
      <c r="B28" s="1">
        <f t="shared" si="10"/>
        <v>2042</v>
      </c>
      <c r="U28" s="1">
        <f t="shared" si="21"/>
        <v>7.1428571428571432</v>
      </c>
      <c r="V28" s="1">
        <f t="shared" si="22"/>
        <v>7.1428571428571521</v>
      </c>
      <c r="W28" s="1">
        <v>4.875</v>
      </c>
      <c r="X28" s="1">
        <f t="shared" si="14"/>
        <v>0.69642857142857195</v>
      </c>
      <c r="Y28" s="1">
        <f t="shared" si="2"/>
        <v>7.8392857142857153</v>
      </c>
      <c r="AA28" s="1">
        <f t="shared" si="16"/>
        <v>5</v>
      </c>
      <c r="AB28" s="1">
        <f t="shared" si="23"/>
        <v>25</v>
      </c>
      <c r="AC28" s="1">
        <v>4.75</v>
      </c>
      <c r="AD28" s="1">
        <f t="shared" si="15"/>
        <v>1.425</v>
      </c>
      <c r="AE28" s="1">
        <f t="shared" si="3"/>
        <v>6.4249999999999998</v>
      </c>
    </row>
    <row r="29" spans="2:31">
      <c r="B29" s="1">
        <f t="shared" si="10"/>
        <v>2043</v>
      </c>
      <c r="U29" s="1">
        <f t="shared" si="21"/>
        <v>7.1428571428571432</v>
      </c>
      <c r="V29" s="1">
        <f t="shared" si="22"/>
        <v>8.8817841970012523E-15</v>
      </c>
      <c r="W29" s="1">
        <v>4.875</v>
      </c>
      <c r="X29" s="1">
        <f t="shared" si="14"/>
        <v>0.3482142857142862</v>
      </c>
      <c r="Y29" s="1">
        <f t="shared" si="2"/>
        <v>7.4910714285714297</v>
      </c>
      <c r="AA29" s="1">
        <f t="shared" si="16"/>
        <v>5</v>
      </c>
      <c r="AB29" s="1">
        <f t="shared" si="23"/>
        <v>20</v>
      </c>
      <c r="AC29" s="1">
        <v>4.75</v>
      </c>
      <c r="AD29" s="1">
        <f t="shared" si="15"/>
        <v>1.1875</v>
      </c>
      <c r="AE29" s="1">
        <f t="shared" si="3"/>
        <v>6.1875</v>
      </c>
    </row>
    <row r="30" spans="2:31">
      <c r="B30" s="1">
        <f t="shared" si="10"/>
        <v>2044</v>
      </c>
      <c r="AA30" s="1">
        <f t="shared" si="16"/>
        <v>5</v>
      </c>
      <c r="AB30" s="1">
        <f t="shared" si="23"/>
        <v>15</v>
      </c>
      <c r="AC30" s="1">
        <v>4.75</v>
      </c>
      <c r="AD30" s="1">
        <f t="shared" si="15"/>
        <v>0.95</v>
      </c>
      <c r="AE30" s="1">
        <f t="shared" si="3"/>
        <v>5.95</v>
      </c>
    </row>
    <row r="31" spans="2:31">
      <c r="B31" s="1">
        <f t="shared" si="10"/>
        <v>2045</v>
      </c>
      <c r="AA31" s="1">
        <f t="shared" si="16"/>
        <v>5</v>
      </c>
      <c r="AB31" s="1">
        <f t="shared" si="23"/>
        <v>10</v>
      </c>
      <c r="AC31" s="1">
        <v>4.75</v>
      </c>
      <c r="AD31" s="1">
        <f t="shared" si="15"/>
        <v>0.71250000000000002</v>
      </c>
      <c r="AE31" s="1">
        <f t="shared" si="3"/>
        <v>5.7125000000000004</v>
      </c>
    </row>
    <row r="32" spans="2:31">
      <c r="B32" s="1">
        <f t="shared" si="10"/>
        <v>2046</v>
      </c>
      <c r="AA32" s="1">
        <f t="shared" si="16"/>
        <v>5</v>
      </c>
      <c r="AB32" s="1">
        <f t="shared" si="23"/>
        <v>5</v>
      </c>
      <c r="AC32" s="1">
        <v>4.75</v>
      </c>
      <c r="AD32" s="1">
        <f t="shared" si="15"/>
        <v>0.47499999999999998</v>
      </c>
      <c r="AE32" s="1">
        <f t="shared" si="3"/>
        <v>5.4749999999999996</v>
      </c>
    </row>
    <row r="33" spans="2:31">
      <c r="B33" s="1">
        <f t="shared" si="10"/>
        <v>2047</v>
      </c>
      <c r="AA33" s="1">
        <f t="shared" si="16"/>
        <v>5</v>
      </c>
      <c r="AB33" s="1">
        <f t="shared" si="23"/>
        <v>0</v>
      </c>
      <c r="AC33" s="1">
        <v>4.75</v>
      </c>
      <c r="AD33" s="1">
        <f t="shared" si="15"/>
        <v>0.23749999999999999</v>
      </c>
      <c r="AE33" s="1">
        <f t="shared" si="3"/>
        <v>5.2374999999999998</v>
      </c>
    </row>
    <row r="34" spans="2:31">
      <c r="B34" s="1">
        <f t="shared" si="10"/>
        <v>2048</v>
      </c>
    </row>
    <row r="35" spans="2:31">
      <c r="B35" s="1">
        <f t="shared" si="10"/>
        <v>2049</v>
      </c>
    </row>
    <row r="36" spans="2:31">
      <c r="B36" s="1">
        <f t="shared" si="10"/>
        <v>2050</v>
      </c>
    </row>
    <row r="37" spans="2:31">
      <c r="B37" s="1">
        <f t="shared" si="10"/>
        <v>2051</v>
      </c>
    </row>
    <row r="38" spans="2:31">
      <c r="B38" s="1">
        <f t="shared" si="10"/>
        <v>2052</v>
      </c>
    </row>
    <row r="39" spans="2:31">
      <c r="B39" s="1">
        <f t="shared" si="10"/>
        <v>2053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43DA-7B15-487F-8043-CCA1EEB318A0}">
  <sheetPr>
    <tabColor theme="9" tint="0.39997558519241921"/>
  </sheetPr>
  <dimension ref="B3:AF39"/>
  <sheetViews>
    <sheetView topLeftCell="K1" workbookViewId="0">
      <selection activeCell="U4" sqref="U4"/>
    </sheetView>
  </sheetViews>
  <sheetFormatPr baseColWidth="10" defaultColWidth="9.109375" defaultRowHeight="14.4"/>
  <cols>
    <col min="1" max="3" width="9.109375" style="1"/>
    <col min="4" max="4" width="11.6640625" style="1" bestFit="1" customWidth="1"/>
    <col min="5" max="16384" width="9.109375" style="1"/>
  </cols>
  <sheetData>
    <row r="3" spans="2:32">
      <c r="G3" s="1">
        <f>IF(C4='Comparación Reestructuración'!$F$2,1,0)</f>
        <v>0</v>
      </c>
      <c r="M3" s="1">
        <f>IF(I4='Comparación Reestructuración'!$F$2,1,0)</f>
        <v>0</v>
      </c>
      <c r="S3" s="1">
        <f>IF(O4='Comparación Reestructuración'!$F$2,1,0)</f>
        <v>0</v>
      </c>
      <c r="Y3" s="1">
        <f>IF(U4='Comparación Reestructuración'!$F$2,1,0)</f>
        <v>1</v>
      </c>
      <c r="AE3" s="1">
        <f>IF(AA4='Comparación Reestructuración'!$F$2,1,0)</f>
        <v>0</v>
      </c>
    </row>
    <row r="4" spans="2:32">
      <c r="C4" s="1" t="s">
        <v>208</v>
      </c>
      <c r="G4" s="4">
        <f>+NPV(0.1,G7:G41)</f>
        <v>52.949874967844067</v>
      </c>
      <c r="I4" s="1" t="s">
        <v>209</v>
      </c>
      <c r="M4" s="4">
        <f>+NPV(0.1,M7:M41)</f>
        <v>51.922856499751354</v>
      </c>
      <c r="O4" s="1" t="s">
        <v>210</v>
      </c>
      <c r="P4" s="4"/>
      <c r="R4" s="4"/>
      <c r="S4" s="4">
        <f>+NPV(0.1,S7:S41)</f>
        <v>56.994959565463617</v>
      </c>
      <c r="U4" s="1" t="s">
        <v>211</v>
      </c>
      <c r="Y4" s="4">
        <f>+NPV(10%,Y7:Y41)</f>
        <v>50.930511389680262</v>
      </c>
      <c r="Z4" s="3"/>
      <c r="AA4" s="1" t="s">
        <v>212</v>
      </c>
      <c r="AE4" s="4">
        <f>+NPV(0.1,AE7:AE41)</f>
        <v>50.955218191805741</v>
      </c>
    </row>
    <row r="5" spans="2:32">
      <c r="C5" s="1" t="s">
        <v>0</v>
      </c>
      <c r="D5" s="1" t="s">
        <v>262</v>
      </c>
      <c r="E5" s="1" t="s">
        <v>205</v>
      </c>
      <c r="F5" s="1" t="s">
        <v>263</v>
      </c>
      <c r="G5" s="1" t="s">
        <v>1</v>
      </c>
      <c r="H5" s="1" t="s">
        <v>289</v>
      </c>
      <c r="I5" s="1" t="s">
        <v>0</v>
      </c>
      <c r="J5" s="1" t="s">
        <v>262</v>
      </c>
      <c r="K5" s="1" t="s">
        <v>205</v>
      </c>
      <c r="L5" s="1" t="s">
        <v>263</v>
      </c>
      <c r="M5" s="1" t="s">
        <v>1</v>
      </c>
      <c r="N5" s="1" t="s">
        <v>289</v>
      </c>
      <c r="O5" s="1" t="s">
        <v>0</v>
      </c>
      <c r="P5" s="1" t="s">
        <v>262</v>
      </c>
      <c r="Q5" s="1" t="s">
        <v>205</v>
      </c>
      <c r="R5" s="1" t="s">
        <v>263</v>
      </c>
      <c r="S5" s="1" t="s">
        <v>1</v>
      </c>
      <c r="T5" s="1" t="s">
        <v>289</v>
      </c>
      <c r="U5" s="1" t="s">
        <v>0</v>
      </c>
      <c r="V5" s="1" t="s">
        <v>262</v>
      </c>
      <c r="W5" s="1" t="s">
        <v>205</v>
      </c>
      <c r="X5" s="1" t="s">
        <v>263</v>
      </c>
      <c r="Y5" s="1" t="s">
        <v>1</v>
      </c>
      <c r="Z5" s="3"/>
      <c r="AA5" s="1" t="s">
        <v>0</v>
      </c>
      <c r="AB5" s="1" t="s">
        <v>262</v>
      </c>
      <c r="AC5" s="1" t="s">
        <v>205</v>
      </c>
      <c r="AD5" s="1" t="s">
        <v>263</v>
      </c>
      <c r="AE5" s="1" t="s">
        <v>1</v>
      </c>
    </row>
    <row r="6" spans="2:32">
      <c r="B6" s="1">
        <v>2020</v>
      </c>
      <c r="D6" s="1">
        <v>100</v>
      </c>
      <c r="E6" s="1">
        <v>0.125</v>
      </c>
      <c r="F6" s="1">
        <f>+(E6*D6)/100</f>
        <v>0.125</v>
      </c>
      <c r="G6" s="1">
        <f>+F6+C6+H6</f>
        <v>0</v>
      </c>
      <c r="H6" s="1">
        <f>-F6</f>
        <v>-0.125</v>
      </c>
      <c r="J6" s="1">
        <v>100</v>
      </c>
      <c r="K6" s="1">
        <v>0.125</v>
      </c>
      <c r="L6" s="1">
        <f>+(K6*J6)/100</f>
        <v>0.125</v>
      </c>
      <c r="M6" s="1">
        <f>+L6+I6+N6</f>
        <v>0</v>
      </c>
      <c r="N6" s="1">
        <f>-L6</f>
        <v>-0.125</v>
      </c>
      <c r="P6" s="1">
        <v>100</v>
      </c>
      <c r="Q6" s="1">
        <v>0.125</v>
      </c>
      <c r="R6" s="1">
        <f>+(Q6*P6)/100</f>
        <v>0.125</v>
      </c>
      <c r="S6" s="1">
        <f>+R6+O6+T6</f>
        <v>0</v>
      </c>
      <c r="T6" s="1">
        <f>-R6</f>
        <v>-0.125</v>
      </c>
      <c r="V6" s="1">
        <v>100</v>
      </c>
      <c r="W6" s="1">
        <v>0.125</v>
      </c>
      <c r="X6" s="1">
        <f>+(W6*V6)/100</f>
        <v>0.125</v>
      </c>
      <c r="Y6" s="1">
        <f>+X6+U6+Z6</f>
        <v>0</v>
      </c>
      <c r="Z6" s="1">
        <f>-X6</f>
        <v>-0.125</v>
      </c>
      <c r="AB6" s="1">
        <v>100</v>
      </c>
      <c r="AC6" s="1">
        <v>0.125</v>
      </c>
      <c r="AD6" s="1">
        <f>+(AC6*AB6)/100</f>
        <v>0.125</v>
      </c>
      <c r="AE6" s="1">
        <f>+AD6+AA6+AF6</f>
        <v>0</v>
      </c>
      <c r="AF6" s="1">
        <f>-AD6</f>
        <v>-0.125</v>
      </c>
    </row>
    <row r="7" spans="2:32">
      <c r="B7" s="1">
        <v>2021</v>
      </c>
      <c r="D7" s="1">
        <f t="shared" ref="D7:D16" si="0">+D6-C7</f>
        <v>100</v>
      </c>
      <c r="E7" s="1">
        <v>0.125</v>
      </c>
      <c r="F7" s="1">
        <f>+(E7*D7)/100</f>
        <v>0.125</v>
      </c>
      <c r="G7" s="1">
        <f>+F7+C7+H7</f>
        <v>0.25</v>
      </c>
      <c r="H7" s="1">
        <f>+F7</f>
        <v>0.125</v>
      </c>
      <c r="J7" s="1">
        <f t="shared" ref="J7:J22" si="1">+J6-I7</f>
        <v>100</v>
      </c>
      <c r="K7" s="1">
        <v>0.125</v>
      </c>
      <c r="L7" s="1">
        <f>+(K7*J7)/100</f>
        <v>0.125</v>
      </c>
      <c r="M7" s="1">
        <f>+L7+I7+N7</f>
        <v>0.25</v>
      </c>
      <c r="N7" s="1">
        <f>+L7</f>
        <v>0.125</v>
      </c>
      <c r="P7" s="1">
        <f t="shared" ref="P7:P25" si="2">+P6-O7</f>
        <v>100</v>
      </c>
      <c r="Q7" s="1">
        <v>0.125</v>
      </c>
      <c r="R7" s="1">
        <f>+(Q7*P7)/100</f>
        <v>0.125</v>
      </c>
      <c r="S7" s="1">
        <f>+R7+O7+T7</f>
        <v>0.25</v>
      </c>
      <c r="T7" s="1">
        <f>+R7</f>
        <v>0.125</v>
      </c>
      <c r="V7" s="1">
        <f t="shared" ref="V7:V29" si="3">+V6-U7</f>
        <v>100</v>
      </c>
      <c r="W7" s="1">
        <v>0.125</v>
      </c>
      <c r="X7" s="1">
        <f>+(W7*V7)/100</f>
        <v>0.125</v>
      </c>
      <c r="Y7" s="1">
        <f>+X7+U7+Z7</f>
        <v>0.25</v>
      </c>
      <c r="Z7" s="1">
        <f>+X7</f>
        <v>0.125</v>
      </c>
      <c r="AB7" s="1">
        <f t="shared" ref="AB7:AB33" si="4">+AB6-AA7</f>
        <v>100</v>
      </c>
      <c r="AC7" s="1">
        <v>0.125</v>
      </c>
      <c r="AD7" s="1">
        <f>+(AC7*AB7)/100</f>
        <v>0.125</v>
      </c>
      <c r="AE7" s="1">
        <f>+AD7+AA7+AF7</f>
        <v>0.25</v>
      </c>
      <c r="AF7" s="1">
        <f>+AD7</f>
        <v>0.125</v>
      </c>
    </row>
    <row r="8" spans="2:32">
      <c r="B8" s="1">
        <f>B7+1</f>
        <v>2022</v>
      </c>
      <c r="D8" s="1">
        <f t="shared" si="0"/>
        <v>100</v>
      </c>
      <c r="E8" s="1">
        <v>0.5</v>
      </c>
      <c r="F8" s="1">
        <f>+(E8*D8)/100</f>
        <v>0.5</v>
      </c>
      <c r="G8" s="1">
        <f t="shared" ref="G8:G16" si="5">+F8+C8</f>
        <v>0.5</v>
      </c>
      <c r="J8" s="1">
        <f t="shared" si="1"/>
        <v>100</v>
      </c>
      <c r="K8" s="1">
        <v>1.125</v>
      </c>
      <c r="L8" s="1">
        <f>+(K8*J8)/100</f>
        <v>1.125</v>
      </c>
      <c r="M8" s="1">
        <f t="shared" ref="M8" si="6">+L8+I8</f>
        <v>1.125</v>
      </c>
      <c r="P8" s="1">
        <f t="shared" si="2"/>
        <v>100</v>
      </c>
      <c r="Q8" s="1">
        <v>2</v>
      </c>
      <c r="R8" s="1">
        <f>+(Q8*P8)/100</f>
        <v>2</v>
      </c>
      <c r="S8" s="1">
        <f t="shared" ref="S8" si="7">+R8+O8</f>
        <v>2</v>
      </c>
      <c r="V8" s="1">
        <f t="shared" si="3"/>
        <v>100</v>
      </c>
      <c r="W8" s="1">
        <v>2.5</v>
      </c>
      <c r="X8" s="1">
        <f>+(W8*V8)/100</f>
        <v>2.5</v>
      </c>
      <c r="Y8" s="1">
        <f t="shared" ref="Y8:Y29" si="8">+X8+U8</f>
        <v>2.5</v>
      </c>
      <c r="AB8" s="1">
        <f t="shared" si="4"/>
        <v>100</v>
      </c>
      <c r="AC8" s="1">
        <v>1.25</v>
      </c>
      <c r="AD8" s="1">
        <f>+(AC8*AB8)/100</f>
        <v>1.25</v>
      </c>
      <c r="AE8" s="1">
        <f t="shared" ref="AE8:AE33" si="9">+AD8+AA8</f>
        <v>1.25</v>
      </c>
    </row>
    <row r="9" spans="2:32">
      <c r="B9" s="1">
        <f t="shared" ref="B9:B39" si="10">B8+1</f>
        <v>2023</v>
      </c>
      <c r="D9" s="1">
        <f t="shared" si="0"/>
        <v>100</v>
      </c>
      <c r="E9" s="1">
        <v>0.5</v>
      </c>
      <c r="F9" s="1">
        <f t="shared" ref="F9:F14" si="11">+(E9*D8)/100</f>
        <v>0.5</v>
      </c>
      <c r="G9" s="1">
        <f t="shared" si="5"/>
        <v>0.5</v>
      </c>
      <c r="J9" s="1">
        <f t="shared" si="1"/>
        <v>100</v>
      </c>
      <c r="K9" s="1">
        <v>1.5</v>
      </c>
      <c r="L9" s="1">
        <f t="shared" ref="L9:L14" si="12">+(K9*J8)/100</f>
        <v>1.5</v>
      </c>
      <c r="M9" s="1">
        <f t="shared" ref="M9:M21" si="13">+L9+I9</f>
        <v>1.5</v>
      </c>
      <c r="P9" s="1">
        <f t="shared" si="2"/>
        <v>100</v>
      </c>
      <c r="Q9" s="1">
        <v>3.875</v>
      </c>
      <c r="R9" s="1">
        <f t="shared" ref="R9:R14" si="14">+(Q9*P8)/100</f>
        <v>3.875</v>
      </c>
      <c r="S9" s="1">
        <f t="shared" ref="S9:S25" si="15">+R9+O9</f>
        <v>3.875</v>
      </c>
      <c r="V9" s="1">
        <f t="shared" si="3"/>
        <v>100</v>
      </c>
      <c r="W9" s="1">
        <v>3.5</v>
      </c>
      <c r="X9" s="1">
        <f t="shared" ref="X9:X29" si="16">+(W9*V8)/100</f>
        <v>3.5</v>
      </c>
      <c r="Y9" s="1">
        <f t="shared" si="8"/>
        <v>3.5</v>
      </c>
      <c r="AB9" s="1">
        <f t="shared" si="4"/>
        <v>100</v>
      </c>
      <c r="AC9" s="1">
        <v>1.5</v>
      </c>
      <c r="AD9" s="1">
        <f t="shared" ref="AD9:AD33" si="17">+(AC9*AB8)/100</f>
        <v>1.5</v>
      </c>
      <c r="AE9" s="1">
        <f t="shared" si="9"/>
        <v>1.5</v>
      </c>
    </row>
    <row r="10" spans="2:32">
      <c r="B10" s="1">
        <f t="shared" si="10"/>
        <v>2024</v>
      </c>
      <c r="D10" s="1">
        <f t="shared" si="0"/>
        <v>100</v>
      </c>
      <c r="E10" s="1">
        <v>0.75</v>
      </c>
      <c r="F10" s="1">
        <f t="shared" si="11"/>
        <v>0.75</v>
      </c>
      <c r="G10" s="1">
        <f t="shared" si="5"/>
        <v>0.75</v>
      </c>
      <c r="J10" s="1">
        <f t="shared" si="1"/>
        <v>100</v>
      </c>
      <c r="K10" s="1">
        <v>3.625</v>
      </c>
      <c r="L10" s="1">
        <f t="shared" si="12"/>
        <v>3.625</v>
      </c>
      <c r="M10" s="1">
        <f t="shared" si="13"/>
        <v>3.625</v>
      </c>
      <c r="P10" s="1">
        <f t="shared" si="2"/>
        <v>100</v>
      </c>
      <c r="Q10" s="1">
        <v>4.25</v>
      </c>
      <c r="R10" s="1">
        <f t="shared" si="14"/>
        <v>4.25</v>
      </c>
      <c r="S10" s="1">
        <f t="shared" si="15"/>
        <v>4.25</v>
      </c>
      <c r="V10" s="1">
        <f t="shared" si="3"/>
        <v>100</v>
      </c>
      <c r="W10" s="1">
        <v>3.5</v>
      </c>
      <c r="X10" s="1">
        <f t="shared" si="16"/>
        <v>3.5</v>
      </c>
      <c r="Y10" s="1">
        <f t="shared" si="8"/>
        <v>3.5</v>
      </c>
      <c r="AB10" s="1">
        <f t="shared" si="4"/>
        <v>100</v>
      </c>
      <c r="AC10" s="1">
        <v>3.625</v>
      </c>
      <c r="AD10" s="1">
        <f t="shared" si="17"/>
        <v>3.625</v>
      </c>
      <c r="AE10" s="1">
        <f t="shared" si="9"/>
        <v>3.625</v>
      </c>
    </row>
    <row r="11" spans="2:32">
      <c r="B11" s="1">
        <f t="shared" si="10"/>
        <v>2025</v>
      </c>
      <c r="C11" s="1">
        <f>100/6</f>
        <v>16.666666666666668</v>
      </c>
      <c r="D11" s="1">
        <f t="shared" si="0"/>
        <v>83.333333333333329</v>
      </c>
      <c r="E11" s="1">
        <v>0.75</v>
      </c>
      <c r="F11" s="1">
        <f t="shared" si="11"/>
        <v>0.75</v>
      </c>
      <c r="G11" s="1">
        <f t="shared" si="5"/>
        <v>17.416666666666668</v>
      </c>
      <c r="J11" s="1">
        <f t="shared" si="1"/>
        <v>100</v>
      </c>
      <c r="K11" s="1">
        <v>4.125</v>
      </c>
      <c r="L11" s="1">
        <f t="shared" si="12"/>
        <v>4.125</v>
      </c>
      <c r="M11" s="1">
        <f t="shared" si="13"/>
        <v>4.125</v>
      </c>
      <c r="P11" s="1">
        <f t="shared" si="2"/>
        <v>100</v>
      </c>
      <c r="Q11" s="1">
        <v>5</v>
      </c>
      <c r="R11" s="1">
        <f t="shared" si="14"/>
        <v>5</v>
      </c>
      <c r="S11" s="1">
        <f t="shared" si="15"/>
        <v>5</v>
      </c>
      <c r="V11" s="1">
        <f t="shared" si="3"/>
        <v>100</v>
      </c>
      <c r="W11" s="1">
        <v>3.5</v>
      </c>
      <c r="X11" s="1">
        <f t="shared" si="16"/>
        <v>3.5</v>
      </c>
      <c r="Y11" s="1">
        <f t="shared" si="8"/>
        <v>3.5</v>
      </c>
      <c r="AA11" s="1">
        <f>100/22</f>
        <v>4.5454545454545459</v>
      </c>
      <c r="AB11" s="1">
        <f t="shared" si="4"/>
        <v>95.454545454545453</v>
      </c>
      <c r="AC11" s="1">
        <v>4.125</v>
      </c>
      <c r="AD11" s="1">
        <f t="shared" si="17"/>
        <v>4.125</v>
      </c>
      <c r="AE11" s="1">
        <f t="shared" si="9"/>
        <v>8.6704545454545467</v>
      </c>
    </row>
    <row r="12" spans="2:32">
      <c r="B12" s="1">
        <f t="shared" si="10"/>
        <v>2026</v>
      </c>
      <c r="C12" s="1">
        <f t="shared" ref="C12:C16" si="18">100/6</f>
        <v>16.666666666666668</v>
      </c>
      <c r="D12" s="1">
        <f t="shared" si="0"/>
        <v>66.666666666666657</v>
      </c>
      <c r="E12" s="1">
        <v>0.75</v>
      </c>
      <c r="F12" s="1">
        <f t="shared" si="11"/>
        <v>0.625</v>
      </c>
      <c r="G12" s="1">
        <f t="shared" si="5"/>
        <v>17.291666666666668</v>
      </c>
      <c r="J12" s="1">
        <f t="shared" si="1"/>
        <v>100</v>
      </c>
      <c r="K12" s="1">
        <v>4.125</v>
      </c>
      <c r="L12" s="1">
        <f t="shared" si="12"/>
        <v>4.125</v>
      </c>
      <c r="M12" s="1">
        <f t="shared" si="13"/>
        <v>4.125</v>
      </c>
      <c r="P12" s="1">
        <f t="shared" si="2"/>
        <v>100</v>
      </c>
      <c r="Q12" s="1">
        <v>5</v>
      </c>
      <c r="R12" s="1">
        <f t="shared" si="14"/>
        <v>5</v>
      </c>
      <c r="S12" s="1">
        <f t="shared" si="15"/>
        <v>5</v>
      </c>
      <c r="V12" s="1">
        <f t="shared" si="3"/>
        <v>100</v>
      </c>
      <c r="W12" s="1">
        <v>3.5</v>
      </c>
      <c r="X12" s="1">
        <f t="shared" si="16"/>
        <v>3.5</v>
      </c>
      <c r="Y12" s="1">
        <f t="shared" si="8"/>
        <v>3.5</v>
      </c>
      <c r="AA12" s="1">
        <f t="shared" ref="AA12:AA32" si="19">100/22</f>
        <v>4.5454545454545459</v>
      </c>
      <c r="AB12" s="1">
        <f t="shared" si="4"/>
        <v>90.909090909090907</v>
      </c>
      <c r="AC12" s="1">
        <v>4.125</v>
      </c>
      <c r="AD12" s="1">
        <f t="shared" si="17"/>
        <v>3.9375</v>
      </c>
      <c r="AE12" s="1">
        <f t="shared" si="9"/>
        <v>8.4829545454545467</v>
      </c>
    </row>
    <row r="13" spans="2:32">
      <c r="B13" s="1">
        <f t="shared" si="10"/>
        <v>2027</v>
      </c>
      <c r="C13" s="1">
        <f t="shared" si="18"/>
        <v>16.666666666666668</v>
      </c>
      <c r="D13" s="1">
        <f t="shared" si="0"/>
        <v>49.999999999999986</v>
      </c>
      <c r="E13" s="1">
        <v>0.75</v>
      </c>
      <c r="F13" s="1">
        <f t="shared" si="11"/>
        <v>0.49999999999999994</v>
      </c>
      <c r="G13" s="1">
        <f t="shared" si="5"/>
        <v>17.166666666666668</v>
      </c>
      <c r="J13" s="1">
        <f t="shared" si="1"/>
        <v>100</v>
      </c>
      <c r="K13" s="1">
        <v>4.125</v>
      </c>
      <c r="L13" s="1">
        <f t="shared" si="12"/>
        <v>4.125</v>
      </c>
      <c r="M13" s="1">
        <f t="shared" si="13"/>
        <v>4.125</v>
      </c>
      <c r="P13" s="1">
        <f t="shared" si="2"/>
        <v>100</v>
      </c>
      <c r="Q13" s="1">
        <v>5</v>
      </c>
      <c r="R13" s="1">
        <f t="shared" si="14"/>
        <v>5</v>
      </c>
      <c r="S13" s="1">
        <f t="shared" si="15"/>
        <v>5</v>
      </c>
      <c r="V13" s="1">
        <f t="shared" si="3"/>
        <v>100</v>
      </c>
      <c r="W13" s="1">
        <v>3.5</v>
      </c>
      <c r="X13" s="1">
        <f t="shared" si="16"/>
        <v>3.5</v>
      </c>
      <c r="Y13" s="1">
        <f t="shared" si="8"/>
        <v>3.5</v>
      </c>
      <c r="AA13" s="1">
        <f t="shared" si="19"/>
        <v>4.5454545454545459</v>
      </c>
      <c r="AB13" s="1">
        <f t="shared" si="4"/>
        <v>86.36363636363636</v>
      </c>
      <c r="AC13" s="1">
        <v>4.125</v>
      </c>
      <c r="AD13" s="1">
        <f t="shared" si="17"/>
        <v>3.75</v>
      </c>
      <c r="AE13" s="1">
        <f t="shared" si="9"/>
        <v>8.2954545454545467</v>
      </c>
    </row>
    <row r="14" spans="2:32">
      <c r="B14" s="1">
        <f t="shared" si="10"/>
        <v>2028</v>
      </c>
      <c r="C14" s="1">
        <f t="shared" si="18"/>
        <v>16.666666666666668</v>
      </c>
      <c r="D14" s="1">
        <f t="shared" si="0"/>
        <v>33.333333333333314</v>
      </c>
      <c r="E14" s="1">
        <v>1.75</v>
      </c>
      <c r="F14" s="1">
        <f t="shared" si="11"/>
        <v>0.87499999999999967</v>
      </c>
      <c r="G14" s="1">
        <f t="shared" si="5"/>
        <v>17.541666666666668</v>
      </c>
      <c r="J14" s="1">
        <f t="shared" si="1"/>
        <v>100</v>
      </c>
      <c r="K14" s="1">
        <v>4.75</v>
      </c>
      <c r="L14" s="1">
        <f t="shared" si="12"/>
        <v>4.75</v>
      </c>
      <c r="M14" s="1">
        <f t="shared" si="13"/>
        <v>4.75</v>
      </c>
      <c r="O14" s="1">
        <f>100/11</f>
        <v>9.0909090909090917</v>
      </c>
      <c r="P14" s="1">
        <f t="shared" si="2"/>
        <v>90.909090909090907</v>
      </c>
      <c r="Q14" s="1">
        <v>5</v>
      </c>
      <c r="R14" s="1">
        <f t="shared" si="14"/>
        <v>5</v>
      </c>
      <c r="S14" s="1">
        <f t="shared" si="15"/>
        <v>14.090909090909092</v>
      </c>
      <c r="U14" s="1">
        <f t="shared" ref="U14:U27" si="20">100/14</f>
        <v>7.1428571428571432</v>
      </c>
      <c r="V14" s="1">
        <f t="shared" si="3"/>
        <v>92.857142857142861</v>
      </c>
      <c r="W14" s="1">
        <v>3.5</v>
      </c>
      <c r="X14" s="1">
        <f t="shared" si="16"/>
        <v>3.5</v>
      </c>
      <c r="Y14" s="1">
        <f t="shared" si="8"/>
        <v>10.642857142857142</v>
      </c>
      <c r="AA14" s="1">
        <f t="shared" si="19"/>
        <v>4.5454545454545459</v>
      </c>
      <c r="AB14" s="1">
        <f t="shared" si="4"/>
        <v>81.818181818181813</v>
      </c>
      <c r="AC14" s="1">
        <v>4.375</v>
      </c>
      <c r="AD14" s="1">
        <f t="shared" si="17"/>
        <v>3.7784090909090908</v>
      </c>
      <c r="AE14" s="1">
        <f t="shared" si="9"/>
        <v>8.3238636363636367</v>
      </c>
    </row>
    <row r="15" spans="2:32">
      <c r="B15" s="1">
        <f t="shared" si="10"/>
        <v>2029</v>
      </c>
      <c r="C15" s="1">
        <f t="shared" si="18"/>
        <v>16.666666666666668</v>
      </c>
      <c r="D15" s="1">
        <f t="shared" si="0"/>
        <v>16.666666666666647</v>
      </c>
      <c r="E15" s="1">
        <v>1.75</v>
      </c>
      <c r="F15" s="1">
        <f>+(E15*D14)/100</f>
        <v>0.58333333333333304</v>
      </c>
      <c r="G15" s="1">
        <f t="shared" si="5"/>
        <v>17.25</v>
      </c>
      <c r="J15" s="1">
        <f t="shared" si="1"/>
        <v>100</v>
      </c>
      <c r="K15" s="1">
        <v>5</v>
      </c>
      <c r="L15" s="1">
        <f>+(K15*J14)/100</f>
        <v>5</v>
      </c>
      <c r="M15" s="1">
        <f t="shared" si="13"/>
        <v>5</v>
      </c>
      <c r="O15" s="1">
        <f>100/11</f>
        <v>9.0909090909090917</v>
      </c>
      <c r="P15" s="1">
        <f t="shared" si="2"/>
        <v>81.818181818181813</v>
      </c>
      <c r="Q15" s="1">
        <v>5</v>
      </c>
      <c r="R15" s="1">
        <f>+(Q15*P14)/100</f>
        <v>4.545454545454545</v>
      </c>
      <c r="S15" s="1">
        <f t="shared" si="15"/>
        <v>13.636363636363637</v>
      </c>
      <c r="U15" s="1">
        <f t="shared" si="20"/>
        <v>7.1428571428571432</v>
      </c>
      <c r="V15" s="1">
        <f t="shared" si="3"/>
        <v>85.714285714285722</v>
      </c>
      <c r="W15" s="1">
        <v>3.5</v>
      </c>
      <c r="X15" s="1">
        <f t="shared" si="16"/>
        <v>3.25</v>
      </c>
      <c r="Y15" s="1">
        <f t="shared" si="8"/>
        <v>10.392857142857142</v>
      </c>
      <c r="AA15" s="1">
        <f t="shared" si="19"/>
        <v>4.5454545454545459</v>
      </c>
      <c r="AB15" s="1">
        <f t="shared" si="4"/>
        <v>77.272727272727266</v>
      </c>
      <c r="AC15" s="1">
        <v>5</v>
      </c>
      <c r="AD15" s="1">
        <f t="shared" si="17"/>
        <v>4.0909090909090908</v>
      </c>
      <c r="AE15" s="1">
        <f t="shared" si="9"/>
        <v>8.6363636363636367</v>
      </c>
    </row>
    <row r="16" spans="2:32">
      <c r="B16" s="1">
        <f t="shared" si="10"/>
        <v>2030</v>
      </c>
      <c r="C16" s="1">
        <f t="shared" si="18"/>
        <v>16.666666666666668</v>
      </c>
      <c r="D16" s="1">
        <f t="shared" si="0"/>
        <v>0</v>
      </c>
      <c r="E16" s="1">
        <v>1.75</v>
      </c>
      <c r="F16" s="1">
        <f t="shared" ref="F16" si="21">+(E16*D15)/100</f>
        <v>0.2916666666666663</v>
      </c>
      <c r="G16" s="1">
        <f t="shared" si="5"/>
        <v>16.958333333333336</v>
      </c>
      <c r="J16" s="1">
        <f t="shared" si="1"/>
        <v>100</v>
      </c>
      <c r="K16" s="1">
        <v>5</v>
      </c>
      <c r="L16" s="1">
        <f t="shared" ref="L16:L22" si="22">+(K16*J15)/100</f>
        <v>5</v>
      </c>
      <c r="M16" s="1">
        <f t="shared" si="13"/>
        <v>5</v>
      </c>
      <c r="O16" s="1">
        <f t="shared" ref="O16:O24" si="23">100/11</f>
        <v>9.0909090909090917</v>
      </c>
      <c r="P16" s="1">
        <f t="shared" si="2"/>
        <v>72.72727272727272</v>
      </c>
      <c r="Q16" s="1">
        <v>5</v>
      </c>
      <c r="R16" s="1">
        <f t="shared" ref="R16:R25" si="24">+(Q16*P15)/100</f>
        <v>4.0909090909090908</v>
      </c>
      <c r="S16" s="1">
        <f t="shared" si="15"/>
        <v>13.181818181818183</v>
      </c>
      <c r="U16" s="1">
        <f t="shared" si="20"/>
        <v>7.1428571428571432</v>
      </c>
      <c r="V16" s="1">
        <f t="shared" si="3"/>
        <v>78.571428571428584</v>
      </c>
      <c r="W16" s="1">
        <v>4.875</v>
      </c>
      <c r="X16" s="1">
        <f t="shared" si="16"/>
        <v>4.1785714285714288</v>
      </c>
      <c r="Y16" s="1">
        <f t="shared" si="8"/>
        <v>11.321428571428573</v>
      </c>
      <c r="AA16" s="1">
        <f t="shared" si="19"/>
        <v>4.5454545454545459</v>
      </c>
      <c r="AB16" s="1">
        <f t="shared" si="4"/>
        <v>72.72727272727272</v>
      </c>
      <c r="AC16" s="1">
        <v>5</v>
      </c>
      <c r="AD16" s="1">
        <f t="shared" si="17"/>
        <v>3.8636363636363633</v>
      </c>
      <c r="AE16" s="1">
        <f t="shared" si="9"/>
        <v>8.4090909090909101</v>
      </c>
    </row>
    <row r="17" spans="2:31">
      <c r="B17" s="1">
        <f t="shared" si="10"/>
        <v>2031</v>
      </c>
      <c r="I17" s="1">
        <f>100/5</f>
        <v>20</v>
      </c>
      <c r="J17" s="1">
        <f t="shared" si="1"/>
        <v>80</v>
      </c>
      <c r="K17" s="1">
        <v>5</v>
      </c>
      <c r="L17" s="1">
        <f t="shared" si="22"/>
        <v>5</v>
      </c>
      <c r="M17" s="1">
        <f t="shared" si="13"/>
        <v>25</v>
      </c>
      <c r="O17" s="1">
        <f t="shared" si="23"/>
        <v>9.0909090909090917</v>
      </c>
      <c r="P17" s="1">
        <f t="shared" si="2"/>
        <v>63.636363636363626</v>
      </c>
      <c r="Q17" s="1">
        <v>5</v>
      </c>
      <c r="R17" s="1">
        <f t="shared" si="24"/>
        <v>3.6363636363636362</v>
      </c>
      <c r="S17" s="1">
        <f t="shared" si="15"/>
        <v>12.727272727272728</v>
      </c>
      <c r="U17" s="1">
        <f t="shared" si="20"/>
        <v>7.1428571428571432</v>
      </c>
      <c r="V17" s="1">
        <f t="shared" si="3"/>
        <v>71.428571428571445</v>
      </c>
      <c r="W17" s="1">
        <v>4.875</v>
      </c>
      <c r="X17" s="1">
        <f t="shared" si="16"/>
        <v>3.8303571428571432</v>
      </c>
      <c r="Y17" s="1">
        <f t="shared" si="8"/>
        <v>10.973214285714286</v>
      </c>
      <c r="AA17" s="1">
        <f t="shared" si="19"/>
        <v>4.5454545454545459</v>
      </c>
      <c r="AB17" s="1">
        <f t="shared" si="4"/>
        <v>68.181818181818173</v>
      </c>
      <c r="AC17" s="1">
        <v>5</v>
      </c>
      <c r="AD17" s="1">
        <f t="shared" si="17"/>
        <v>3.6363636363636362</v>
      </c>
      <c r="AE17" s="1">
        <f t="shared" si="9"/>
        <v>8.1818181818181817</v>
      </c>
    </row>
    <row r="18" spans="2:31">
      <c r="B18" s="1">
        <f t="shared" si="10"/>
        <v>2032</v>
      </c>
      <c r="I18" s="1">
        <f>+I17</f>
        <v>20</v>
      </c>
      <c r="J18" s="1">
        <f t="shared" si="1"/>
        <v>60</v>
      </c>
      <c r="K18" s="1">
        <v>5</v>
      </c>
      <c r="L18" s="1">
        <f t="shared" si="22"/>
        <v>4</v>
      </c>
      <c r="M18" s="1">
        <f t="shared" si="13"/>
        <v>24</v>
      </c>
      <c r="O18" s="1">
        <f t="shared" si="23"/>
        <v>9.0909090909090917</v>
      </c>
      <c r="P18" s="1">
        <f t="shared" si="2"/>
        <v>54.545454545454533</v>
      </c>
      <c r="Q18" s="1">
        <v>5</v>
      </c>
      <c r="R18" s="1">
        <f t="shared" si="24"/>
        <v>3.1818181818181812</v>
      </c>
      <c r="S18" s="1">
        <f t="shared" si="15"/>
        <v>12.272727272727273</v>
      </c>
      <c r="U18" s="1">
        <f t="shared" si="20"/>
        <v>7.1428571428571432</v>
      </c>
      <c r="V18" s="1">
        <f t="shared" si="3"/>
        <v>64.285714285714306</v>
      </c>
      <c r="W18" s="1">
        <v>4.875</v>
      </c>
      <c r="X18" s="1">
        <f t="shared" si="16"/>
        <v>3.4821428571428577</v>
      </c>
      <c r="Y18" s="1">
        <f t="shared" si="8"/>
        <v>10.625</v>
      </c>
      <c r="AA18" s="1">
        <f t="shared" si="19"/>
        <v>4.5454545454545459</v>
      </c>
      <c r="AB18" s="1">
        <f t="shared" si="4"/>
        <v>63.636363636363626</v>
      </c>
      <c r="AC18" s="1">
        <v>5</v>
      </c>
      <c r="AD18" s="1">
        <f t="shared" si="17"/>
        <v>3.4090909090909087</v>
      </c>
      <c r="AE18" s="1">
        <f t="shared" si="9"/>
        <v>7.954545454545455</v>
      </c>
    </row>
    <row r="19" spans="2:31">
      <c r="B19" s="1">
        <f t="shared" si="10"/>
        <v>2033</v>
      </c>
      <c r="I19" s="1">
        <f>+I18</f>
        <v>20</v>
      </c>
      <c r="J19" s="1">
        <f t="shared" si="1"/>
        <v>40</v>
      </c>
      <c r="K19" s="1">
        <v>5</v>
      </c>
      <c r="L19" s="1">
        <f t="shared" si="22"/>
        <v>3</v>
      </c>
      <c r="M19" s="1">
        <f t="shared" si="13"/>
        <v>23</v>
      </c>
      <c r="O19" s="1">
        <f t="shared" si="23"/>
        <v>9.0909090909090917</v>
      </c>
      <c r="P19" s="1">
        <f t="shared" si="2"/>
        <v>45.454545454545439</v>
      </c>
      <c r="Q19" s="1">
        <v>5</v>
      </c>
      <c r="R19" s="1">
        <f t="shared" si="24"/>
        <v>2.7272727272727262</v>
      </c>
      <c r="S19" s="1">
        <f t="shared" si="15"/>
        <v>11.818181818181818</v>
      </c>
      <c r="U19" s="1">
        <f t="shared" si="20"/>
        <v>7.1428571428571432</v>
      </c>
      <c r="V19" s="1">
        <f t="shared" si="3"/>
        <v>57.14285714285716</v>
      </c>
      <c r="W19" s="1">
        <v>4.875</v>
      </c>
      <c r="X19" s="1">
        <f t="shared" si="16"/>
        <v>3.1339285714285721</v>
      </c>
      <c r="Y19" s="1">
        <f t="shared" si="8"/>
        <v>10.276785714285715</v>
      </c>
      <c r="AA19" s="1">
        <f t="shared" si="19"/>
        <v>4.5454545454545459</v>
      </c>
      <c r="AB19" s="1">
        <f t="shared" si="4"/>
        <v>59.090909090909079</v>
      </c>
      <c r="AC19" s="1">
        <v>5</v>
      </c>
      <c r="AD19" s="1">
        <f t="shared" si="17"/>
        <v>3.1818181818181812</v>
      </c>
      <c r="AE19" s="1">
        <f t="shared" si="9"/>
        <v>7.7272727272727266</v>
      </c>
    </row>
    <row r="20" spans="2:31">
      <c r="B20" s="1">
        <f t="shared" si="10"/>
        <v>2034</v>
      </c>
      <c r="I20" s="1">
        <f>+I19</f>
        <v>20</v>
      </c>
      <c r="J20" s="1">
        <f t="shared" si="1"/>
        <v>20</v>
      </c>
      <c r="K20" s="1">
        <v>5</v>
      </c>
      <c r="L20" s="1">
        <f t="shared" si="22"/>
        <v>2</v>
      </c>
      <c r="M20" s="1">
        <f t="shared" si="13"/>
        <v>22</v>
      </c>
      <c r="O20" s="1">
        <f t="shared" si="23"/>
        <v>9.0909090909090917</v>
      </c>
      <c r="P20" s="1">
        <f t="shared" si="2"/>
        <v>36.363636363636346</v>
      </c>
      <c r="Q20" s="1">
        <v>5</v>
      </c>
      <c r="R20" s="1">
        <f t="shared" si="24"/>
        <v>2.272727272727272</v>
      </c>
      <c r="S20" s="1">
        <f t="shared" si="15"/>
        <v>11.363636363636363</v>
      </c>
      <c r="U20" s="1">
        <f t="shared" si="20"/>
        <v>7.1428571428571432</v>
      </c>
      <c r="V20" s="1">
        <f t="shared" si="3"/>
        <v>50.000000000000014</v>
      </c>
      <c r="W20" s="1">
        <v>4.875</v>
      </c>
      <c r="X20" s="1">
        <f t="shared" si="16"/>
        <v>2.7857142857142865</v>
      </c>
      <c r="Y20" s="1">
        <f t="shared" si="8"/>
        <v>9.9285714285714306</v>
      </c>
      <c r="AA20" s="1">
        <f t="shared" si="19"/>
        <v>4.5454545454545459</v>
      </c>
      <c r="AB20" s="1">
        <f t="shared" si="4"/>
        <v>54.545454545454533</v>
      </c>
      <c r="AC20" s="1">
        <v>5</v>
      </c>
      <c r="AD20" s="1">
        <f t="shared" si="17"/>
        <v>2.9545454545454537</v>
      </c>
      <c r="AE20" s="1">
        <f t="shared" si="9"/>
        <v>7.5</v>
      </c>
    </row>
    <row r="21" spans="2:31">
      <c r="B21" s="1">
        <f t="shared" si="10"/>
        <v>2035</v>
      </c>
      <c r="I21" s="1">
        <f>+I20</f>
        <v>20</v>
      </c>
      <c r="J21" s="1">
        <f t="shared" si="1"/>
        <v>0</v>
      </c>
      <c r="K21" s="1">
        <v>5</v>
      </c>
      <c r="L21" s="1">
        <f t="shared" si="22"/>
        <v>1</v>
      </c>
      <c r="M21" s="1">
        <f t="shared" si="13"/>
        <v>21</v>
      </c>
      <c r="O21" s="1">
        <f t="shared" si="23"/>
        <v>9.0909090909090917</v>
      </c>
      <c r="P21" s="1">
        <f t="shared" si="2"/>
        <v>27.272727272727252</v>
      </c>
      <c r="Q21" s="1">
        <v>5</v>
      </c>
      <c r="R21" s="1">
        <f t="shared" si="24"/>
        <v>1.8181818181818172</v>
      </c>
      <c r="S21" s="1">
        <f t="shared" si="15"/>
        <v>10.909090909090908</v>
      </c>
      <c r="U21" s="1">
        <f t="shared" si="20"/>
        <v>7.1428571428571432</v>
      </c>
      <c r="V21" s="1">
        <f t="shared" si="3"/>
        <v>42.857142857142868</v>
      </c>
      <c r="W21" s="1">
        <v>4.875</v>
      </c>
      <c r="X21" s="1">
        <f t="shared" si="16"/>
        <v>2.4375000000000004</v>
      </c>
      <c r="Y21" s="1">
        <f t="shared" si="8"/>
        <v>9.5803571428571441</v>
      </c>
      <c r="AA21" s="1">
        <f t="shared" si="19"/>
        <v>4.5454545454545459</v>
      </c>
      <c r="AB21" s="1">
        <f t="shared" si="4"/>
        <v>49.999999999999986</v>
      </c>
      <c r="AC21" s="1">
        <v>5</v>
      </c>
      <c r="AD21" s="1">
        <f t="shared" si="17"/>
        <v>2.7272727272727262</v>
      </c>
      <c r="AE21" s="1">
        <f t="shared" si="9"/>
        <v>7.2727272727272716</v>
      </c>
    </row>
    <row r="22" spans="2:31">
      <c r="B22" s="1">
        <f t="shared" si="10"/>
        <v>2036</v>
      </c>
      <c r="J22" s="1">
        <f t="shared" si="1"/>
        <v>0</v>
      </c>
      <c r="L22" s="1">
        <f t="shared" si="22"/>
        <v>0</v>
      </c>
      <c r="M22" s="1">
        <f>+L22+I22</f>
        <v>0</v>
      </c>
      <c r="O22" s="1">
        <f t="shared" si="23"/>
        <v>9.0909090909090917</v>
      </c>
      <c r="P22" s="1">
        <f t="shared" si="2"/>
        <v>18.181818181818159</v>
      </c>
      <c r="Q22" s="1">
        <v>5</v>
      </c>
      <c r="R22" s="1">
        <f t="shared" si="24"/>
        <v>1.3636363636363626</v>
      </c>
      <c r="S22" s="1">
        <f t="shared" si="15"/>
        <v>10.454545454545455</v>
      </c>
      <c r="U22" s="1">
        <f t="shared" si="20"/>
        <v>7.1428571428571432</v>
      </c>
      <c r="V22" s="1">
        <f t="shared" si="3"/>
        <v>35.714285714285722</v>
      </c>
      <c r="W22" s="1">
        <v>4.875</v>
      </c>
      <c r="X22" s="1">
        <f t="shared" si="16"/>
        <v>2.0892857142857149</v>
      </c>
      <c r="Y22" s="1">
        <f t="shared" si="8"/>
        <v>9.2321428571428577</v>
      </c>
      <c r="AA22" s="1">
        <f t="shared" si="19"/>
        <v>4.5454545454545459</v>
      </c>
      <c r="AB22" s="1">
        <f t="shared" si="4"/>
        <v>45.454545454545439</v>
      </c>
      <c r="AC22" s="1">
        <v>5</v>
      </c>
      <c r="AD22" s="1">
        <f t="shared" si="17"/>
        <v>2.4999999999999996</v>
      </c>
      <c r="AE22" s="1">
        <f t="shared" si="9"/>
        <v>7.045454545454545</v>
      </c>
    </row>
    <row r="23" spans="2:31">
      <c r="B23" s="1">
        <f t="shared" si="10"/>
        <v>2037</v>
      </c>
      <c r="O23" s="1">
        <f t="shared" si="23"/>
        <v>9.0909090909090917</v>
      </c>
      <c r="P23" s="1">
        <f t="shared" si="2"/>
        <v>9.0909090909090668</v>
      </c>
      <c r="Q23" s="1">
        <v>5</v>
      </c>
      <c r="R23" s="1">
        <f t="shared" si="24"/>
        <v>0.90909090909090795</v>
      </c>
      <c r="S23" s="1">
        <f t="shared" si="15"/>
        <v>10</v>
      </c>
      <c r="U23" s="1">
        <f t="shared" si="20"/>
        <v>7.1428571428571432</v>
      </c>
      <c r="V23" s="1">
        <f t="shared" si="3"/>
        <v>28.57142857142858</v>
      </c>
      <c r="W23" s="1">
        <v>4.875</v>
      </c>
      <c r="X23" s="1">
        <f t="shared" si="16"/>
        <v>1.7410714285714288</v>
      </c>
      <c r="Y23" s="1">
        <f t="shared" si="8"/>
        <v>8.883928571428573</v>
      </c>
      <c r="AA23" s="1">
        <f t="shared" si="19"/>
        <v>4.5454545454545459</v>
      </c>
      <c r="AB23" s="1">
        <f t="shared" si="4"/>
        <v>40.909090909090892</v>
      </c>
      <c r="AC23" s="1">
        <v>5</v>
      </c>
      <c r="AD23" s="1">
        <f t="shared" si="17"/>
        <v>2.272727272727272</v>
      </c>
      <c r="AE23" s="1">
        <f t="shared" si="9"/>
        <v>6.8181818181818183</v>
      </c>
    </row>
    <row r="24" spans="2:31">
      <c r="B24" s="1">
        <f t="shared" si="10"/>
        <v>2038</v>
      </c>
      <c r="O24" s="1">
        <f t="shared" si="23"/>
        <v>9.0909090909090917</v>
      </c>
      <c r="P24" s="1">
        <f t="shared" si="2"/>
        <v>-2.4868995751603507E-14</v>
      </c>
      <c r="Q24" s="1">
        <v>5</v>
      </c>
      <c r="R24" s="1">
        <f t="shared" si="24"/>
        <v>0.45454545454545331</v>
      </c>
      <c r="S24" s="1">
        <f t="shared" si="15"/>
        <v>9.545454545454545</v>
      </c>
      <c r="U24" s="1">
        <f t="shared" si="20"/>
        <v>7.1428571428571432</v>
      </c>
      <c r="V24" s="1">
        <f t="shared" si="3"/>
        <v>21.428571428571438</v>
      </c>
      <c r="W24" s="1">
        <v>4.875</v>
      </c>
      <c r="X24" s="1">
        <f t="shared" si="16"/>
        <v>1.3928571428571432</v>
      </c>
      <c r="Y24" s="1">
        <f t="shared" si="8"/>
        <v>8.5357142857142865</v>
      </c>
      <c r="AA24" s="1">
        <f t="shared" si="19"/>
        <v>4.5454545454545459</v>
      </c>
      <c r="AB24" s="1">
        <f t="shared" si="4"/>
        <v>36.363636363636346</v>
      </c>
      <c r="AC24" s="1">
        <v>5</v>
      </c>
      <c r="AD24" s="1">
        <f t="shared" si="17"/>
        <v>2.0454545454545445</v>
      </c>
      <c r="AE24" s="1">
        <f t="shared" si="9"/>
        <v>6.5909090909090899</v>
      </c>
    </row>
    <row r="25" spans="2:31">
      <c r="B25" s="1">
        <f t="shared" si="10"/>
        <v>2039</v>
      </c>
      <c r="P25" s="1">
        <f t="shared" si="2"/>
        <v>-2.4868995751603507E-14</v>
      </c>
      <c r="R25" s="1">
        <f t="shared" si="24"/>
        <v>0</v>
      </c>
      <c r="S25" s="1">
        <f t="shared" si="15"/>
        <v>0</v>
      </c>
      <c r="U25" s="1">
        <f t="shared" si="20"/>
        <v>7.1428571428571432</v>
      </c>
      <c r="V25" s="1">
        <f t="shared" si="3"/>
        <v>14.285714285714295</v>
      </c>
      <c r="W25" s="1">
        <v>4.875</v>
      </c>
      <c r="X25" s="1">
        <f t="shared" si="16"/>
        <v>1.0446428571428577</v>
      </c>
      <c r="Y25" s="1">
        <f t="shared" si="8"/>
        <v>8.1875</v>
      </c>
      <c r="AA25" s="1">
        <f t="shared" si="19"/>
        <v>4.5454545454545459</v>
      </c>
      <c r="AB25" s="1">
        <f t="shared" si="4"/>
        <v>31.818181818181799</v>
      </c>
      <c r="AC25" s="1">
        <v>5</v>
      </c>
      <c r="AD25" s="1">
        <f t="shared" si="17"/>
        <v>1.8181818181818172</v>
      </c>
      <c r="AE25" s="1">
        <f t="shared" si="9"/>
        <v>6.3636363636363633</v>
      </c>
    </row>
    <row r="26" spans="2:31">
      <c r="B26" s="1">
        <f t="shared" si="10"/>
        <v>2040</v>
      </c>
      <c r="U26" s="1">
        <f t="shared" si="20"/>
        <v>7.1428571428571432</v>
      </c>
      <c r="V26" s="1">
        <f t="shared" si="3"/>
        <v>7.1428571428571521</v>
      </c>
      <c r="W26" s="1">
        <v>4.875</v>
      </c>
      <c r="X26" s="1">
        <f t="shared" si="16"/>
        <v>0.69642857142857195</v>
      </c>
      <c r="Y26" s="1">
        <f t="shared" si="8"/>
        <v>7.8392857142857153</v>
      </c>
      <c r="AA26" s="1">
        <f t="shared" si="19"/>
        <v>4.5454545454545459</v>
      </c>
      <c r="AB26" s="1">
        <f t="shared" si="4"/>
        <v>27.272727272727252</v>
      </c>
      <c r="AC26" s="1">
        <v>5</v>
      </c>
      <c r="AD26" s="1">
        <f t="shared" si="17"/>
        <v>1.5909090909090902</v>
      </c>
      <c r="AE26" s="1">
        <f t="shared" si="9"/>
        <v>6.1363636363636358</v>
      </c>
    </row>
    <row r="27" spans="2:31">
      <c r="B27" s="1">
        <f t="shared" si="10"/>
        <v>2041</v>
      </c>
      <c r="U27" s="1">
        <f t="shared" si="20"/>
        <v>7.1428571428571432</v>
      </c>
      <c r="V27" s="1">
        <f t="shared" si="3"/>
        <v>8.8817841970012523E-15</v>
      </c>
      <c r="W27" s="1">
        <v>4.875</v>
      </c>
      <c r="X27" s="1">
        <f t="shared" si="16"/>
        <v>0.3482142857142862</v>
      </c>
      <c r="Y27" s="1">
        <f t="shared" si="8"/>
        <v>7.4910714285714297</v>
      </c>
      <c r="AA27" s="1">
        <f t="shared" si="19"/>
        <v>4.5454545454545459</v>
      </c>
      <c r="AB27" s="1">
        <f t="shared" si="4"/>
        <v>22.727272727272705</v>
      </c>
      <c r="AC27" s="1">
        <v>5</v>
      </c>
      <c r="AD27" s="1">
        <f t="shared" si="17"/>
        <v>1.3636363636363626</v>
      </c>
      <c r="AE27" s="1">
        <f t="shared" si="9"/>
        <v>5.9090909090909083</v>
      </c>
    </row>
    <row r="28" spans="2:31">
      <c r="B28" s="1">
        <f t="shared" si="10"/>
        <v>2042</v>
      </c>
      <c r="V28" s="1">
        <f t="shared" si="3"/>
        <v>8.8817841970012523E-15</v>
      </c>
      <c r="X28" s="1">
        <f t="shared" si="16"/>
        <v>0</v>
      </c>
      <c r="Y28" s="1">
        <f t="shared" si="8"/>
        <v>0</v>
      </c>
      <c r="AA28" s="1">
        <f t="shared" si="19"/>
        <v>4.5454545454545459</v>
      </c>
      <c r="AB28" s="1">
        <f t="shared" si="4"/>
        <v>18.181818181818159</v>
      </c>
      <c r="AC28" s="1">
        <v>5</v>
      </c>
      <c r="AD28" s="1">
        <f t="shared" si="17"/>
        <v>1.1363636363636354</v>
      </c>
      <c r="AE28" s="1">
        <f t="shared" si="9"/>
        <v>5.6818181818181817</v>
      </c>
    </row>
    <row r="29" spans="2:31">
      <c r="B29" s="1">
        <f t="shared" si="10"/>
        <v>2043</v>
      </c>
      <c r="V29" s="1">
        <f t="shared" si="3"/>
        <v>8.8817841970012523E-15</v>
      </c>
      <c r="X29" s="1">
        <f t="shared" si="16"/>
        <v>0</v>
      </c>
      <c r="Y29" s="1">
        <f t="shared" si="8"/>
        <v>0</v>
      </c>
      <c r="AA29" s="1">
        <f t="shared" si="19"/>
        <v>4.5454545454545459</v>
      </c>
      <c r="AB29" s="1">
        <f t="shared" si="4"/>
        <v>13.636363636363612</v>
      </c>
      <c r="AC29" s="1">
        <v>5</v>
      </c>
      <c r="AD29" s="1">
        <f t="shared" si="17"/>
        <v>0.90909090909090795</v>
      </c>
      <c r="AE29" s="1">
        <f t="shared" si="9"/>
        <v>5.4545454545454541</v>
      </c>
    </row>
    <row r="30" spans="2:31">
      <c r="B30" s="1">
        <f t="shared" si="10"/>
        <v>2044</v>
      </c>
      <c r="AA30" s="1">
        <f t="shared" si="19"/>
        <v>4.5454545454545459</v>
      </c>
      <c r="AB30" s="1">
        <f t="shared" si="4"/>
        <v>9.0909090909090651</v>
      </c>
      <c r="AC30" s="1">
        <v>5</v>
      </c>
      <c r="AD30" s="1">
        <f t="shared" si="17"/>
        <v>0.68181818181818055</v>
      </c>
      <c r="AE30" s="1">
        <f t="shared" si="9"/>
        <v>5.2272727272727266</v>
      </c>
    </row>
    <row r="31" spans="2:31">
      <c r="B31" s="1">
        <f t="shared" si="10"/>
        <v>2045</v>
      </c>
      <c r="AA31" s="1">
        <f t="shared" si="19"/>
        <v>4.5454545454545459</v>
      </c>
      <c r="AB31" s="1">
        <f t="shared" si="4"/>
        <v>4.5454545454545192</v>
      </c>
      <c r="AC31" s="1">
        <v>5</v>
      </c>
      <c r="AD31" s="1">
        <f t="shared" si="17"/>
        <v>0.45454545454545325</v>
      </c>
      <c r="AE31" s="1">
        <f t="shared" si="9"/>
        <v>4.9999999999999991</v>
      </c>
    </row>
    <row r="32" spans="2:31">
      <c r="B32" s="1">
        <f t="shared" si="10"/>
        <v>2046</v>
      </c>
      <c r="AA32" s="1">
        <f t="shared" si="19"/>
        <v>4.5454545454545459</v>
      </c>
      <c r="AB32" s="1">
        <f t="shared" si="4"/>
        <v>-2.6645352591003757E-14</v>
      </c>
      <c r="AC32" s="1">
        <v>5</v>
      </c>
      <c r="AD32" s="1">
        <f t="shared" si="17"/>
        <v>0.22727272727272596</v>
      </c>
      <c r="AE32" s="1">
        <f t="shared" si="9"/>
        <v>4.7727272727272716</v>
      </c>
    </row>
    <row r="33" spans="2:31">
      <c r="B33" s="1">
        <f t="shared" si="10"/>
        <v>2047</v>
      </c>
      <c r="AB33" s="1">
        <f t="shared" si="4"/>
        <v>-2.6645352591003757E-14</v>
      </c>
      <c r="AC33" s="1">
        <v>5</v>
      </c>
      <c r="AD33" s="1">
        <f t="shared" si="17"/>
        <v>-1.3322676295501878E-15</v>
      </c>
      <c r="AE33" s="1">
        <f t="shared" si="9"/>
        <v>-1.3322676295501878E-15</v>
      </c>
    </row>
    <row r="34" spans="2:31">
      <c r="B34" s="1">
        <f t="shared" si="10"/>
        <v>2048</v>
      </c>
    </row>
    <row r="35" spans="2:31">
      <c r="B35" s="1">
        <f t="shared" si="10"/>
        <v>2049</v>
      </c>
    </row>
    <row r="36" spans="2:31">
      <c r="B36" s="1">
        <f t="shared" si="10"/>
        <v>2050</v>
      </c>
    </row>
    <row r="37" spans="2:31">
      <c r="B37" s="1">
        <f t="shared" si="10"/>
        <v>2051</v>
      </c>
    </row>
    <row r="38" spans="2:31">
      <c r="B38" s="1">
        <f t="shared" si="10"/>
        <v>2052</v>
      </c>
    </row>
    <row r="39" spans="2:31">
      <c r="B39" s="1">
        <f t="shared" si="10"/>
        <v>2053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5984-C5AB-43D7-A6BD-BEC34982F4C2}">
  <dimension ref="B1:AL61"/>
  <sheetViews>
    <sheetView showGridLines="0" workbookViewId="0">
      <pane xSplit="2" ySplit="3" topLeftCell="C4" activePane="bottomRight" state="frozen"/>
      <selection activeCell="D1" sqref="D1"/>
      <selection pane="topRight" activeCell="D1" sqref="D1"/>
      <selection pane="bottomLeft" activeCell="D1" sqref="D1"/>
      <selection pane="bottomRight" activeCell="C4" sqref="C4"/>
    </sheetView>
  </sheetViews>
  <sheetFormatPr baseColWidth="10" defaultColWidth="11.5546875" defaultRowHeight="14.4"/>
  <cols>
    <col min="1" max="4" width="11.5546875" style="8"/>
    <col min="5" max="5" width="11.5546875" style="122"/>
    <col min="6" max="7" width="11.5546875" style="8"/>
    <col min="8" max="8" width="11.5546875" style="122"/>
    <col min="9" max="10" width="11.5546875" style="8"/>
    <col min="11" max="11" width="11.5546875" style="122"/>
    <col min="12" max="16384" width="11.5546875" style="8"/>
  </cols>
  <sheetData>
    <row r="1" spans="2:38">
      <c r="E1" s="122">
        <f>+IF(C2='Comparación Reestructuración'!$C$2,1,0)</f>
        <v>0</v>
      </c>
      <c r="H1" s="122">
        <f>+IF(F2='Comparación Reestructuración'!$C$2,1,0)</f>
        <v>0</v>
      </c>
      <c r="K1" s="122">
        <f>+IF(I2='Comparación Reestructuración'!$C$2,1,0)</f>
        <v>0</v>
      </c>
      <c r="N1" s="122">
        <f>+IF(L2='Comparación Reestructuración'!$C$2,1,0)</f>
        <v>0</v>
      </c>
      <c r="Q1" s="122">
        <f>+IF(O2='Comparación Reestructuración'!$C$2,1,0)</f>
        <v>0</v>
      </c>
      <c r="T1" s="122">
        <f>+IF(R2='Comparación Reestructuración'!$C$2,1,0)</f>
        <v>0</v>
      </c>
      <c r="W1" s="122">
        <f>+IF(U2='Comparación Reestructuración'!$C$2,1,0)</f>
        <v>0</v>
      </c>
      <c r="Z1" s="122">
        <f>+IF(X2='Comparación Reestructuración'!$C$2,1,0)</f>
        <v>0</v>
      </c>
      <c r="AC1" s="122">
        <f>+IF(AA2='Comparación Reestructuración'!$C$2,1,0)</f>
        <v>0</v>
      </c>
      <c r="AF1" s="122">
        <f>+IF(AD2='Comparación Reestructuración'!$C$2,1,0)</f>
        <v>0</v>
      </c>
      <c r="AI1" s="122">
        <f>+IF(AG2='Comparación Reestructuración'!$C$2,1,0)</f>
        <v>0</v>
      </c>
      <c r="AL1" s="122">
        <f>+IF(AJ2='Comparación Reestructuración'!$C$2,1,0)</f>
        <v>1</v>
      </c>
    </row>
    <row r="2" spans="2:38" s="122" customFormat="1">
      <c r="C2" s="122" t="s">
        <v>192</v>
      </c>
      <c r="F2" s="122" t="s">
        <v>195</v>
      </c>
      <c r="I2" s="122" t="s">
        <v>196</v>
      </c>
      <c r="L2" s="122" t="s">
        <v>2</v>
      </c>
      <c r="O2" s="122" t="s">
        <v>197</v>
      </c>
      <c r="R2" s="122" t="s">
        <v>198</v>
      </c>
      <c r="U2" s="122" t="s">
        <v>199</v>
      </c>
      <c r="X2" s="122" t="s">
        <v>200</v>
      </c>
      <c r="AA2" s="122" t="s">
        <v>201</v>
      </c>
      <c r="AD2" s="122" t="s">
        <v>202</v>
      </c>
      <c r="AG2" s="122" t="s">
        <v>203</v>
      </c>
      <c r="AJ2" s="122" t="s">
        <v>204</v>
      </c>
    </row>
    <row r="3" spans="2:38">
      <c r="B3" s="123"/>
      <c r="C3" s="123" t="s">
        <v>205</v>
      </c>
      <c r="D3" s="123" t="s">
        <v>0</v>
      </c>
      <c r="E3" s="124" t="s">
        <v>1</v>
      </c>
      <c r="F3" s="123" t="s">
        <v>205</v>
      </c>
      <c r="G3" s="123" t="s">
        <v>0</v>
      </c>
      <c r="H3" s="124" t="s">
        <v>1</v>
      </c>
      <c r="I3" s="123" t="s">
        <v>205</v>
      </c>
      <c r="J3" s="123" t="s">
        <v>0</v>
      </c>
      <c r="K3" s="124" t="s">
        <v>1</v>
      </c>
      <c r="L3" s="123" t="s">
        <v>205</v>
      </c>
      <c r="M3" s="123" t="s">
        <v>0</v>
      </c>
      <c r="N3" s="123" t="s">
        <v>1</v>
      </c>
      <c r="O3" s="123" t="s">
        <v>205</v>
      </c>
      <c r="P3" s="123" t="s">
        <v>0</v>
      </c>
      <c r="Q3" s="123" t="s">
        <v>1</v>
      </c>
      <c r="R3" s="123" t="s">
        <v>205</v>
      </c>
      <c r="S3" s="123" t="s">
        <v>0</v>
      </c>
      <c r="T3" s="123" t="s">
        <v>1</v>
      </c>
      <c r="U3" s="123" t="s">
        <v>205</v>
      </c>
      <c r="V3" s="123" t="s">
        <v>0</v>
      </c>
      <c r="W3" s="123" t="s">
        <v>1</v>
      </c>
      <c r="X3" s="123" t="s">
        <v>205</v>
      </c>
      <c r="Y3" s="123" t="s">
        <v>0</v>
      </c>
      <c r="Z3" s="123" t="s">
        <v>1</v>
      </c>
      <c r="AA3" s="123" t="s">
        <v>205</v>
      </c>
      <c r="AB3" s="123" t="s">
        <v>0</v>
      </c>
      <c r="AC3" s="123" t="s">
        <v>1</v>
      </c>
      <c r="AD3" s="123" t="s">
        <v>205</v>
      </c>
      <c r="AE3" s="123" t="s">
        <v>0</v>
      </c>
      <c r="AF3" s="123" t="s">
        <v>1</v>
      </c>
      <c r="AG3" s="123" t="s">
        <v>205</v>
      </c>
      <c r="AH3" s="123" t="s">
        <v>0</v>
      </c>
      <c r="AI3" s="123" t="s">
        <v>1</v>
      </c>
      <c r="AJ3" s="123" t="s">
        <v>205</v>
      </c>
      <c r="AK3" s="123" t="s">
        <v>0</v>
      </c>
      <c r="AL3" s="123" t="s">
        <v>1</v>
      </c>
    </row>
    <row r="4" spans="2:38">
      <c r="B4" s="8">
        <v>2020</v>
      </c>
      <c r="C4" s="8">
        <v>11.6</v>
      </c>
      <c r="E4" s="122">
        <f>+D4+C4</f>
        <v>11.6</v>
      </c>
      <c r="F4" s="2">
        <v>3.75</v>
      </c>
      <c r="H4" s="122">
        <f>+G4+F4</f>
        <v>3.75</v>
      </c>
      <c r="I4" s="8">
        <v>5.625</v>
      </c>
      <c r="K4" s="122">
        <f>+I4+J4</f>
        <v>5.625</v>
      </c>
      <c r="L4" s="8">
        <v>4.625</v>
      </c>
      <c r="N4" s="122">
        <f>+L4+M4</f>
        <v>4.625</v>
      </c>
      <c r="O4" s="8">
        <v>6.875</v>
      </c>
      <c r="Q4" s="122">
        <f>+O4+P4</f>
        <v>6.875</v>
      </c>
      <c r="R4" s="8">
        <v>6.875</v>
      </c>
      <c r="T4" s="122">
        <f>+R4+S4</f>
        <v>6.875</v>
      </c>
      <c r="U4" s="8">
        <v>5.875</v>
      </c>
      <c r="W4" s="122">
        <f t="shared" ref="W4:W12" si="0">+U4+V4</f>
        <v>5.875</v>
      </c>
      <c r="X4" s="8">
        <v>7.5</v>
      </c>
      <c r="Z4" s="122">
        <f t="shared" ref="Z4:Z10" si="1">+X4+Y4</f>
        <v>7.5</v>
      </c>
      <c r="AA4" s="8">
        <v>7.625</v>
      </c>
      <c r="AC4" s="122">
        <f t="shared" ref="AC4:AC30" si="2">+AA4+AB4</f>
        <v>7.625</v>
      </c>
      <c r="AD4" s="8">
        <v>6.875</v>
      </c>
      <c r="AF4" s="122">
        <f t="shared" ref="AF4:AF32" si="3">+AD4+AE4</f>
        <v>6.875</v>
      </c>
      <c r="AG4" s="8">
        <v>6.625</v>
      </c>
      <c r="AI4" s="122">
        <f t="shared" ref="AI4:AI12" si="4">+AG4+AH4</f>
        <v>6.625</v>
      </c>
      <c r="AJ4" s="8">
        <v>7.125</v>
      </c>
      <c r="AL4" s="122">
        <f t="shared" ref="AL4:AL61" si="5">+AJ4+AK4</f>
        <v>7.125</v>
      </c>
    </row>
    <row r="5" spans="2:38">
      <c r="B5" s="8">
        <f>+B4+1</f>
        <v>2021</v>
      </c>
      <c r="C5" s="8">
        <v>11.6</v>
      </c>
      <c r="E5" s="122">
        <f t="shared" ref="E5:E17" si="6">+D5+C5</f>
        <v>11.6</v>
      </c>
      <c r="F5" s="2">
        <v>3.75</v>
      </c>
      <c r="H5" s="122">
        <f t="shared" ref="H5:H22" si="7">+G5+F5</f>
        <v>3.75</v>
      </c>
      <c r="I5" s="8">
        <v>5.625</v>
      </c>
      <c r="K5" s="122">
        <f t="shared" ref="K5:K6" si="8">+I5+J5</f>
        <v>5.625</v>
      </c>
      <c r="L5" s="8">
        <v>4.625</v>
      </c>
      <c r="N5" s="122">
        <f t="shared" ref="N5:N7" si="9">+L5+M5</f>
        <v>4.625</v>
      </c>
      <c r="O5" s="8">
        <v>6.875</v>
      </c>
      <c r="P5" s="8">
        <v>100</v>
      </c>
      <c r="Q5" s="122">
        <f>+O5+P5</f>
        <v>106.875</v>
      </c>
      <c r="R5" s="8">
        <v>6.875</v>
      </c>
      <c r="T5" s="122">
        <f>+R5+S5</f>
        <v>6.875</v>
      </c>
      <c r="U5" s="8">
        <v>5.875</v>
      </c>
      <c r="W5" s="122">
        <f t="shared" si="0"/>
        <v>5.875</v>
      </c>
      <c r="X5" s="8">
        <v>7.5</v>
      </c>
      <c r="Z5" s="122">
        <f t="shared" si="1"/>
        <v>7.5</v>
      </c>
      <c r="AA5" s="8">
        <v>7.625</v>
      </c>
      <c r="AC5" s="122">
        <f t="shared" si="2"/>
        <v>7.625</v>
      </c>
      <c r="AD5" s="8">
        <v>6.875</v>
      </c>
      <c r="AF5" s="122">
        <f t="shared" si="3"/>
        <v>6.875</v>
      </c>
      <c r="AG5" s="8">
        <v>6.625</v>
      </c>
      <c r="AI5" s="122">
        <f t="shared" si="4"/>
        <v>6.625</v>
      </c>
      <c r="AJ5" s="8">
        <v>7.125</v>
      </c>
      <c r="AL5" s="122">
        <f t="shared" si="5"/>
        <v>7.125</v>
      </c>
    </row>
    <row r="6" spans="2:38">
      <c r="B6" s="8">
        <f t="shared" ref="B6:B61" si="10">+B5+1</f>
        <v>2022</v>
      </c>
      <c r="C6" s="8">
        <v>11.6</v>
      </c>
      <c r="E6" s="122">
        <f t="shared" si="6"/>
        <v>11.6</v>
      </c>
      <c r="F6" s="2">
        <v>3.75</v>
      </c>
      <c r="H6" s="122">
        <f t="shared" si="7"/>
        <v>3.75</v>
      </c>
      <c r="I6" s="8">
        <v>5.625</v>
      </c>
      <c r="J6" s="8">
        <v>100</v>
      </c>
      <c r="K6" s="122">
        <f t="shared" si="8"/>
        <v>105.625</v>
      </c>
      <c r="L6" s="8">
        <v>4.625</v>
      </c>
      <c r="N6" s="122">
        <f t="shared" si="9"/>
        <v>4.625</v>
      </c>
      <c r="R6" s="8">
        <v>6.875</v>
      </c>
      <c r="T6" s="122">
        <f>+R6+S6</f>
        <v>6.875</v>
      </c>
      <c r="U6" s="8">
        <v>5.875</v>
      </c>
      <c r="W6" s="122">
        <f t="shared" si="0"/>
        <v>5.875</v>
      </c>
      <c r="X6" s="8">
        <v>7.5</v>
      </c>
      <c r="Z6" s="122">
        <f t="shared" si="1"/>
        <v>7.5</v>
      </c>
      <c r="AA6" s="8">
        <v>7.625</v>
      </c>
      <c r="AC6" s="122">
        <f t="shared" si="2"/>
        <v>7.625</v>
      </c>
      <c r="AD6" s="8">
        <v>6.875</v>
      </c>
      <c r="AF6" s="122">
        <f t="shared" si="3"/>
        <v>6.875</v>
      </c>
      <c r="AG6" s="8">
        <v>6.625</v>
      </c>
      <c r="AI6" s="122">
        <f t="shared" si="4"/>
        <v>6.625</v>
      </c>
      <c r="AJ6" s="8">
        <v>7.125</v>
      </c>
      <c r="AL6" s="122">
        <f t="shared" si="5"/>
        <v>7.125</v>
      </c>
    </row>
    <row r="7" spans="2:38">
      <c r="B7" s="8">
        <f t="shared" si="10"/>
        <v>2023</v>
      </c>
      <c r="C7" s="8">
        <v>11.6</v>
      </c>
      <c r="E7" s="122">
        <f t="shared" si="6"/>
        <v>11.6</v>
      </c>
      <c r="F7" s="2">
        <v>3.75</v>
      </c>
      <c r="H7" s="122">
        <f t="shared" si="7"/>
        <v>3.75</v>
      </c>
      <c r="L7" s="8">
        <v>4.625</v>
      </c>
      <c r="M7" s="8">
        <v>100</v>
      </c>
      <c r="N7" s="122">
        <f t="shared" si="9"/>
        <v>104.625</v>
      </c>
      <c r="R7" s="8">
        <v>6.875</v>
      </c>
      <c r="T7" s="122">
        <f>+R7+S7</f>
        <v>6.875</v>
      </c>
      <c r="U7" s="8">
        <v>5.875</v>
      </c>
      <c r="W7" s="122">
        <f t="shared" si="0"/>
        <v>5.875</v>
      </c>
      <c r="X7" s="8">
        <v>7.5</v>
      </c>
      <c r="Z7" s="122">
        <f t="shared" si="1"/>
        <v>7.5</v>
      </c>
      <c r="AA7" s="8">
        <v>7.625</v>
      </c>
      <c r="AC7" s="122">
        <f t="shared" si="2"/>
        <v>7.625</v>
      </c>
      <c r="AD7" s="8">
        <v>6.875</v>
      </c>
      <c r="AF7" s="122">
        <f t="shared" si="3"/>
        <v>6.875</v>
      </c>
      <c r="AG7" s="8">
        <v>6.625</v>
      </c>
      <c r="AI7" s="122">
        <f t="shared" si="4"/>
        <v>6.625</v>
      </c>
      <c r="AJ7" s="8">
        <v>7.125</v>
      </c>
      <c r="AL7" s="122">
        <f t="shared" si="5"/>
        <v>7.125</v>
      </c>
    </row>
    <row r="8" spans="2:38">
      <c r="B8" s="8">
        <f t="shared" si="10"/>
        <v>2024</v>
      </c>
      <c r="C8" s="8">
        <v>11.309999999999999</v>
      </c>
      <c r="D8" s="8">
        <v>14.02</v>
      </c>
      <c r="E8" s="122">
        <f t="shared" si="6"/>
        <v>25.33</v>
      </c>
      <c r="F8" s="2">
        <v>3.75</v>
      </c>
      <c r="H8" s="122">
        <f t="shared" si="7"/>
        <v>3.75</v>
      </c>
      <c r="R8" s="8">
        <v>6.875</v>
      </c>
      <c r="T8" s="122">
        <f t="shared" ref="T8:T11" si="11">+R8+S8</f>
        <v>6.875</v>
      </c>
      <c r="U8" s="8">
        <v>5.875</v>
      </c>
      <c r="W8" s="122">
        <f t="shared" si="0"/>
        <v>5.875</v>
      </c>
      <c r="X8" s="8">
        <v>7.5</v>
      </c>
      <c r="Z8" s="122">
        <f t="shared" si="1"/>
        <v>7.5</v>
      </c>
      <c r="AA8" s="8">
        <v>7.625</v>
      </c>
      <c r="AC8" s="122">
        <f t="shared" si="2"/>
        <v>7.625</v>
      </c>
      <c r="AD8" s="8">
        <v>6.875</v>
      </c>
      <c r="AF8" s="122">
        <f t="shared" si="3"/>
        <v>6.875</v>
      </c>
      <c r="AG8" s="8">
        <v>6.625</v>
      </c>
      <c r="AI8" s="122">
        <f t="shared" si="4"/>
        <v>6.625</v>
      </c>
      <c r="AJ8" s="8">
        <v>7.125</v>
      </c>
      <c r="AL8" s="122">
        <f t="shared" si="5"/>
        <v>7.125</v>
      </c>
    </row>
    <row r="9" spans="2:38">
      <c r="B9" s="8">
        <f t="shared" si="10"/>
        <v>2025</v>
      </c>
      <c r="C9" s="8">
        <v>10.149999999999999</v>
      </c>
      <c r="D9" s="8">
        <v>14.02</v>
      </c>
      <c r="E9" s="122">
        <f t="shared" si="6"/>
        <v>24.169999999999998</v>
      </c>
      <c r="F9" s="2">
        <v>3.75</v>
      </c>
      <c r="H9" s="122">
        <f t="shared" si="7"/>
        <v>3.75</v>
      </c>
      <c r="R9" s="8">
        <v>6.875</v>
      </c>
      <c r="T9" s="122">
        <f t="shared" si="11"/>
        <v>6.875</v>
      </c>
      <c r="U9" s="8">
        <v>5.875</v>
      </c>
      <c r="W9" s="122">
        <f t="shared" si="0"/>
        <v>5.875</v>
      </c>
      <c r="X9" s="8">
        <v>7.5</v>
      </c>
      <c r="Z9" s="122">
        <f t="shared" si="1"/>
        <v>7.5</v>
      </c>
      <c r="AA9" s="8">
        <v>7.625</v>
      </c>
      <c r="AC9" s="122">
        <f t="shared" si="2"/>
        <v>7.625</v>
      </c>
      <c r="AD9" s="8">
        <v>6.875</v>
      </c>
      <c r="AF9" s="122">
        <f t="shared" si="3"/>
        <v>6.875</v>
      </c>
      <c r="AG9" s="8">
        <v>6.625</v>
      </c>
      <c r="AI9" s="122">
        <f t="shared" si="4"/>
        <v>6.625</v>
      </c>
      <c r="AJ9" s="8">
        <v>7.125</v>
      </c>
      <c r="AL9" s="122">
        <f t="shared" si="5"/>
        <v>7.125</v>
      </c>
    </row>
    <row r="10" spans="2:38">
      <c r="B10" s="8">
        <f t="shared" si="10"/>
        <v>2026</v>
      </c>
      <c r="C10" s="8">
        <v>8.9899999999999984</v>
      </c>
      <c r="D10" s="8">
        <v>14.02</v>
      </c>
      <c r="E10" s="122">
        <f t="shared" si="6"/>
        <v>23.009999999999998</v>
      </c>
      <c r="F10" s="2">
        <v>3.75</v>
      </c>
      <c r="H10" s="122">
        <f t="shared" si="7"/>
        <v>3.75</v>
      </c>
      <c r="R10" s="8">
        <v>6.875</v>
      </c>
      <c r="T10" s="122">
        <f t="shared" si="11"/>
        <v>6.875</v>
      </c>
      <c r="U10" s="8">
        <v>5.875</v>
      </c>
      <c r="W10" s="122">
        <f t="shared" si="0"/>
        <v>5.875</v>
      </c>
      <c r="X10" s="8">
        <v>7.5</v>
      </c>
      <c r="Y10" s="8">
        <v>100</v>
      </c>
      <c r="Z10" s="122">
        <f t="shared" si="1"/>
        <v>107.5</v>
      </c>
      <c r="AA10" s="8">
        <v>7.625</v>
      </c>
      <c r="AC10" s="122">
        <f t="shared" si="2"/>
        <v>7.625</v>
      </c>
      <c r="AD10" s="8">
        <v>6.875</v>
      </c>
      <c r="AF10" s="122">
        <f t="shared" si="3"/>
        <v>6.875</v>
      </c>
      <c r="AG10" s="8">
        <v>6.625</v>
      </c>
      <c r="AI10" s="122">
        <f t="shared" si="4"/>
        <v>6.625</v>
      </c>
      <c r="AJ10" s="8">
        <v>7.125</v>
      </c>
      <c r="AL10" s="122">
        <f t="shared" si="5"/>
        <v>7.125</v>
      </c>
    </row>
    <row r="11" spans="2:38">
      <c r="B11" s="8">
        <f t="shared" si="10"/>
        <v>2027</v>
      </c>
      <c r="C11" s="8">
        <v>7.83</v>
      </c>
      <c r="D11" s="8">
        <v>14.02</v>
      </c>
      <c r="E11" s="122">
        <f t="shared" si="6"/>
        <v>21.85</v>
      </c>
      <c r="F11" s="2">
        <v>3.75</v>
      </c>
      <c r="H11" s="122">
        <f t="shared" si="7"/>
        <v>3.75</v>
      </c>
      <c r="R11" s="8">
        <v>6.875</v>
      </c>
      <c r="S11" s="8">
        <v>100</v>
      </c>
      <c r="T11" s="122">
        <f t="shared" si="11"/>
        <v>106.875</v>
      </c>
      <c r="U11" s="8">
        <v>5.875</v>
      </c>
      <c r="W11" s="122">
        <f t="shared" si="0"/>
        <v>5.875</v>
      </c>
      <c r="AA11" s="8">
        <v>7.625</v>
      </c>
      <c r="AC11" s="122">
        <f t="shared" si="2"/>
        <v>7.625</v>
      </c>
      <c r="AD11" s="8">
        <v>6.875</v>
      </c>
      <c r="AF11" s="122">
        <f t="shared" si="3"/>
        <v>6.875</v>
      </c>
      <c r="AG11" s="8">
        <v>6.625</v>
      </c>
      <c r="AI11" s="122">
        <f t="shared" si="4"/>
        <v>6.625</v>
      </c>
      <c r="AJ11" s="8">
        <v>7.125</v>
      </c>
      <c r="AL11" s="122">
        <f t="shared" si="5"/>
        <v>7.125</v>
      </c>
    </row>
    <row r="12" spans="2:38">
      <c r="B12" s="8">
        <f t="shared" si="10"/>
        <v>2028</v>
      </c>
      <c r="C12" s="8">
        <v>6.67</v>
      </c>
      <c r="D12" s="8">
        <v>14.02</v>
      </c>
      <c r="E12" s="122">
        <f t="shared" si="6"/>
        <v>20.689999999999998</v>
      </c>
      <c r="F12" s="2">
        <v>3.75</v>
      </c>
      <c r="H12" s="122">
        <f t="shared" si="7"/>
        <v>3.75</v>
      </c>
      <c r="U12" s="8">
        <v>5.875</v>
      </c>
      <c r="V12" s="8">
        <v>100</v>
      </c>
      <c r="W12" s="122">
        <f t="shared" si="0"/>
        <v>105.875</v>
      </c>
      <c r="AA12" s="8">
        <v>7.625</v>
      </c>
      <c r="AC12" s="122">
        <f t="shared" si="2"/>
        <v>7.625</v>
      </c>
      <c r="AD12" s="8">
        <v>6.875</v>
      </c>
      <c r="AF12" s="122">
        <f t="shared" si="3"/>
        <v>6.875</v>
      </c>
      <c r="AG12" s="8">
        <v>6.625</v>
      </c>
      <c r="AH12" s="8">
        <v>100</v>
      </c>
      <c r="AI12" s="122">
        <f t="shared" si="4"/>
        <v>106.625</v>
      </c>
      <c r="AJ12" s="8">
        <v>7.125</v>
      </c>
      <c r="AL12" s="122">
        <f t="shared" si="5"/>
        <v>7.125</v>
      </c>
    </row>
    <row r="13" spans="2:38">
      <c r="B13" s="8">
        <f t="shared" si="10"/>
        <v>2029</v>
      </c>
      <c r="C13" s="8">
        <v>5.51</v>
      </c>
      <c r="D13" s="8">
        <v>14.02</v>
      </c>
      <c r="E13" s="122">
        <f t="shared" si="6"/>
        <v>19.53</v>
      </c>
      <c r="F13" s="2">
        <v>5.25</v>
      </c>
      <c r="G13" s="2">
        <v>10</v>
      </c>
      <c r="H13" s="122">
        <f t="shared" si="7"/>
        <v>15.25</v>
      </c>
      <c r="AA13" s="8">
        <v>7.625</v>
      </c>
      <c r="AC13" s="122">
        <f t="shared" si="2"/>
        <v>7.625</v>
      </c>
      <c r="AD13" s="8">
        <v>6.875</v>
      </c>
      <c r="AF13" s="122">
        <f t="shared" si="3"/>
        <v>6.875</v>
      </c>
      <c r="AJ13" s="8">
        <v>7.125</v>
      </c>
      <c r="AL13" s="122">
        <f t="shared" si="5"/>
        <v>7.125</v>
      </c>
    </row>
    <row r="14" spans="2:38">
      <c r="B14" s="8">
        <f t="shared" si="10"/>
        <v>2030</v>
      </c>
      <c r="C14" s="8">
        <v>4.3499999999999996</v>
      </c>
      <c r="D14" s="8">
        <v>14.02</v>
      </c>
      <c r="E14" s="122">
        <f t="shared" si="6"/>
        <v>18.369999999999997</v>
      </c>
      <c r="F14" s="2">
        <v>5.25</v>
      </c>
      <c r="G14" s="2">
        <v>10</v>
      </c>
      <c r="H14" s="122">
        <f t="shared" si="7"/>
        <v>15.25</v>
      </c>
      <c r="AA14" s="8">
        <v>7.625</v>
      </c>
      <c r="AC14" s="122">
        <f t="shared" si="2"/>
        <v>7.625</v>
      </c>
      <c r="AD14" s="8">
        <v>6.875</v>
      </c>
      <c r="AF14" s="122">
        <f t="shared" si="3"/>
        <v>6.875</v>
      </c>
      <c r="AJ14" s="8">
        <v>7.125</v>
      </c>
      <c r="AL14" s="122">
        <f t="shared" si="5"/>
        <v>7.125</v>
      </c>
    </row>
    <row r="15" spans="2:38">
      <c r="B15" s="8">
        <f t="shared" si="10"/>
        <v>2031</v>
      </c>
      <c r="C15" s="8">
        <v>3.19</v>
      </c>
      <c r="D15" s="8">
        <v>14.02</v>
      </c>
      <c r="E15" s="122">
        <f t="shared" si="6"/>
        <v>17.21</v>
      </c>
      <c r="F15" s="2">
        <v>5.25</v>
      </c>
      <c r="G15" s="2">
        <v>10</v>
      </c>
      <c r="H15" s="122">
        <f t="shared" si="7"/>
        <v>15.25</v>
      </c>
      <c r="AA15" s="8">
        <v>7.625</v>
      </c>
      <c r="AC15" s="122">
        <f t="shared" si="2"/>
        <v>7.625</v>
      </c>
      <c r="AD15" s="8">
        <v>6.875</v>
      </c>
      <c r="AF15" s="122">
        <f t="shared" si="3"/>
        <v>6.875</v>
      </c>
      <c r="AJ15" s="8">
        <v>7.125</v>
      </c>
      <c r="AL15" s="122">
        <f t="shared" si="5"/>
        <v>7.125</v>
      </c>
    </row>
    <row r="16" spans="2:38">
      <c r="B16" s="8">
        <f t="shared" si="10"/>
        <v>2032</v>
      </c>
      <c r="C16" s="8">
        <v>2.0299999999999998</v>
      </c>
      <c r="D16" s="8">
        <v>14.02</v>
      </c>
      <c r="E16" s="122">
        <f t="shared" si="6"/>
        <v>16.05</v>
      </c>
      <c r="F16" s="2">
        <v>5.25</v>
      </c>
      <c r="G16" s="2">
        <v>10</v>
      </c>
      <c r="H16" s="122">
        <f t="shared" si="7"/>
        <v>15.25</v>
      </c>
      <c r="AA16" s="8">
        <v>7.625</v>
      </c>
      <c r="AC16" s="122">
        <f t="shared" si="2"/>
        <v>7.625</v>
      </c>
      <c r="AD16" s="8">
        <v>6.875</v>
      </c>
      <c r="AF16" s="122">
        <f t="shared" si="3"/>
        <v>6.875</v>
      </c>
      <c r="AJ16" s="8">
        <v>7.125</v>
      </c>
      <c r="AL16" s="122">
        <f t="shared" si="5"/>
        <v>7.125</v>
      </c>
    </row>
    <row r="17" spans="2:38">
      <c r="B17" s="8">
        <f t="shared" si="10"/>
        <v>2033</v>
      </c>
      <c r="C17" s="8">
        <v>0.86999999999999988</v>
      </c>
      <c r="D17" s="8">
        <v>14.02</v>
      </c>
      <c r="E17" s="122">
        <f t="shared" si="6"/>
        <v>14.889999999999999</v>
      </c>
      <c r="F17" s="2">
        <v>5.25</v>
      </c>
      <c r="G17" s="2">
        <v>10</v>
      </c>
      <c r="H17" s="122">
        <f t="shared" si="7"/>
        <v>15.25</v>
      </c>
      <c r="AA17" s="8">
        <v>7.625</v>
      </c>
      <c r="AC17" s="122">
        <f t="shared" si="2"/>
        <v>7.625</v>
      </c>
      <c r="AD17" s="8">
        <v>6.875</v>
      </c>
      <c r="AF17" s="122">
        <f t="shared" si="3"/>
        <v>6.875</v>
      </c>
      <c r="AJ17" s="8">
        <v>7.125</v>
      </c>
      <c r="AL17" s="122">
        <f t="shared" si="5"/>
        <v>7.125</v>
      </c>
    </row>
    <row r="18" spans="2:38">
      <c r="B18" s="8">
        <f t="shared" si="10"/>
        <v>2034</v>
      </c>
      <c r="F18" s="2">
        <v>5.25</v>
      </c>
      <c r="G18" s="2">
        <v>10</v>
      </c>
      <c r="H18" s="122">
        <f t="shared" si="7"/>
        <v>15.25</v>
      </c>
      <c r="AA18" s="8">
        <v>7.625</v>
      </c>
      <c r="AC18" s="122">
        <f t="shared" si="2"/>
        <v>7.625</v>
      </c>
      <c r="AD18" s="8">
        <v>6.875</v>
      </c>
      <c r="AF18" s="122">
        <f t="shared" si="3"/>
        <v>6.875</v>
      </c>
      <c r="AJ18" s="8">
        <v>7.125</v>
      </c>
      <c r="AL18" s="122">
        <f t="shared" si="5"/>
        <v>7.125</v>
      </c>
    </row>
    <row r="19" spans="2:38">
      <c r="B19" s="8">
        <f t="shared" si="10"/>
        <v>2035</v>
      </c>
      <c r="F19" s="2">
        <v>5.25</v>
      </c>
      <c r="G19" s="2">
        <v>10</v>
      </c>
      <c r="H19" s="122">
        <f t="shared" si="7"/>
        <v>15.25</v>
      </c>
      <c r="AA19" s="8">
        <v>7.625</v>
      </c>
      <c r="AC19" s="122">
        <f t="shared" si="2"/>
        <v>7.625</v>
      </c>
      <c r="AD19" s="8">
        <v>6.875</v>
      </c>
      <c r="AF19" s="122">
        <f t="shared" si="3"/>
        <v>6.875</v>
      </c>
      <c r="AJ19" s="8">
        <v>7.125</v>
      </c>
      <c r="AL19" s="122">
        <f t="shared" si="5"/>
        <v>7.125</v>
      </c>
    </row>
    <row r="20" spans="2:38">
      <c r="B20" s="8">
        <f t="shared" si="10"/>
        <v>2036</v>
      </c>
      <c r="F20" s="2">
        <v>5.25</v>
      </c>
      <c r="G20" s="2">
        <v>10</v>
      </c>
      <c r="H20" s="122">
        <f t="shared" si="7"/>
        <v>15.25</v>
      </c>
      <c r="AA20" s="8">
        <v>7.625</v>
      </c>
      <c r="AC20" s="122">
        <f t="shared" si="2"/>
        <v>7.625</v>
      </c>
      <c r="AD20" s="8">
        <v>6.875</v>
      </c>
      <c r="AF20" s="122">
        <f t="shared" si="3"/>
        <v>6.875</v>
      </c>
      <c r="AJ20" s="8">
        <v>7.125</v>
      </c>
      <c r="AL20" s="122">
        <f t="shared" si="5"/>
        <v>7.125</v>
      </c>
    </row>
    <row r="21" spans="2:38">
      <c r="B21" s="8">
        <f t="shared" si="10"/>
        <v>2037</v>
      </c>
      <c r="F21" s="2">
        <v>5.25</v>
      </c>
      <c r="G21" s="2">
        <v>10</v>
      </c>
      <c r="H21" s="122">
        <f t="shared" si="7"/>
        <v>15.25</v>
      </c>
      <c r="AA21" s="8">
        <v>7.625</v>
      </c>
      <c r="AC21" s="122">
        <f t="shared" si="2"/>
        <v>7.625</v>
      </c>
      <c r="AD21" s="8">
        <v>6.875</v>
      </c>
      <c r="AF21" s="122">
        <f t="shared" si="3"/>
        <v>6.875</v>
      </c>
      <c r="AJ21" s="8">
        <v>7.125</v>
      </c>
      <c r="AL21" s="122">
        <f t="shared" si="5"/>
        <v>7.125</v>
      </c>
    </row>
    <row r="22" spans="2:38">
      <c r="B22" s="8">
        <f t="shared" si="10"/>
        <v>2038</v>
      </c>
      <c r="F22" s="2">
        <v>5.25</v>
      </c>
      <c r="G22" s="2">
        <v>10</v>
      </c>
      <c r="H22" s="122">
        <f t="shared" si="7"/>
        <v>15.25</v>
      </c>
      <c r="AA22" s="8">
        <v>7.625</v>
      </c>
      <c r="AC22" s="122">
        <f t="shared" si="2"/>
        <v>7.625</v>
      </c>
      <c r="AD22" s="8">
        <v>6.875</v>
      </c>
      <c r="AF22" s="122">
        <f t="shared" si="3"/>
        <v>6.875</v>
      </c>
      <c r="AJ22" s="8">
        <v>7.125</v>
      </c>
      <c r="AL22" s="122">
        <f t="shared" si="5"/>
        <v>7.125</v>
      </c>
    </row>
    <row r="23" spans="2:38">
      <c r="B23" s="8">
        <f t="shared" si="10"/>
        <v>2039</v>
      </c>
      <c r="AA23" s="8">
        <v>7.625</v>
      </c>
      <c r="AC23" s="122">
        <f t="shared" si="2"/>
        <v>7.625</v>
      </c>
      <c r="AD23" s="8">
        <v>6.875</v>
      </c>
      <c r="AF23" s="122">
        <f t="shared" si="3"/>
        <v>6.875</v>
      </c>
      <c r="AJ23" s="8">
        <v>7.125</v>
      </c>
      <c r="AL23" s="122">
        <f t="shared" si="5"/>
        <v>7.125</v>
      </c>
    </row>
    <row r="24" spans="2:38">
      <c r="B24" s="8">
        <f t="shared" si="10"/>
        <v>2040</v>
      </c>
      <c r="AA24" s="8">
        <v>7.625</v>
      </c>
      <c r="AC24" s="122">
        <f t="shared" si="2"/>
        <v>7.625</v>
      </c>
      <c r="AD24" s="8">
        <v>6.875</v>
      </c>
      <c r="AF24" s="122">
        <f t="shared" si="3"/>
        <v>6.875</v>
      </c>
      <c r="AJ24" s="8">
        <v>7.125</v>
      </c>
      <c r="AL24" s="122">
        <f t="shared" si="5"/>
        <v>7.125</v>
      </c>
    </row>
    <row r="25" spans="2:38">
      <c r="B25" s="8">
        <f t="shared" si="10"/>
        <v>2041</v>
      </c>
      <c r="AA25" s="8">
        <v>7.625</v>
      </c>
      <c r="AC25" s="122">
        <f t="shared" si="2"/>
        <v>7.625</v>
      </c>
      <c r="AD25" s="8">
        <v>6.875</v>
      </c>
      <c r="AF25" s="122">
        <f t="shared" si="3"/>
        <v>6.875</v>
      </c>
      <c r="AJ25" s="8">
        <v>7.125</v>
      </c>
      <c r="AL25" s="122">
        <f t="shared" si="5"/>
        <v>7.125</v>
      </c>
    </row>
    <row r="26" spans="2:38">
      <c r="B26" s="8">
        <f t="shared" si="10"/>
        <v>2042</v>
      </c>
      <c r="AA26" s="8">
        <v>7.625</v>
      </c>
      <c r="AC26" s="122">
        <f t="shared" si="2"/>
        <v>7.625</v>
      </c>
      <c r="AD26" s="8">
        <v>6.875</v>
      </c>
      <c r="AF26" s="122">
        <f t="shared" si="3"/>
        <v>6.875</v>
      </c>
      <c r="AJ26" s="8">
        <v>7.125</v>
      </c>
      <c r="AL26" s="122">
        <f t="shared" si="5"/>
        <v>7.125</v>
      </c>
    </row>
    <row r="27" spans="2:38">
      <c r="B27" s="8">
        <f t="shared" si="10"/>
        <v>2043</v>
      </c>
      <c r="AA27" s="8">
        <v>7.625</v>
      </c>
      <c r="AC27" s="122">
        <f t="shared" si="2"/>
        <v>7.625</v>
      </c>
      <c r="AD27" s="8">
        <v>6.875</v>
      </c>
      <c r="AF27" s="122">
        <f t="shared" si="3"/>
        <v>6.875</v>
      </c>
      <c r="AJ27" s="8">
        <v>7.125</v>
      </c>
      <c r="AL27" s="122">
        <f t="shared" si="5"/>
        <v>7.125</v>
      </c>
    </row>
    <row r="28" spans="2:38">
      <c r="B28" s="8">
        <f t="shared" si="10"/>
        <v>2044</v>
      </c>
      <c r="AA28" s="8">
        <v>7.625</v>
      </c>
      <c r="AC28" s="122">
        <f t="shared" si="2"/>
        <v>7.625</v>
      </c>
      <c r="AD28" s="8">
        <v>6.875</v>
      </c>
      <c r="AF28" s="122">
        <f t="shared" si="3"/>
        <v>6.875</v>
      </c>
      <c r="AJ28" s="8">
        <v>7.125</v>
      </c>
      <c r="AL28" s="122">
        <f t="shared" si="5"/>
        <v>7.125</v>
      </c>
    </row>
    <row r="29" spans="2:38">
      <c r="B29" s="8">
        <f t="shared" si="10"/>
        <v>2045</v>
      </c>
      <c r="AA29" s="8">
        <v>7.625</v>
      </c>
      <c r="AC29" s="122">
        <f t="shared" si="2"/>
        <v>7.625</v>
      </c>
      <c r="AD29" s="8">
        <v>6.875</v>
      </c>
      <c r="AF29" s="122">
        <f t="shared" si="3"/>
        <v>6.875</v>
      </c>
      <c r="AJ29" s="8">
        <v>7.125</v>
      </c>
      <c r="AL29" s="122">
        <f t="shared" si="5"/>
        <v>7.125</v>
      </c>
    </row>
    <row r="30" spans="2:38">
      <c r="B30" s="8">
        <f t="shared" si="10"/>
        <v>2046</v>
      </c>
      <c r="AA30" s="8">
        <v>7.625</v>
      </c>
      <c r="AB30" s="8">
        <v>100</v>
      </c>
      <c r="AC30" s="122">
        <f t="shared" si="2"/>
        <v>107.625</v>
      </c>
      <c r="AD30" s="8">
        <v>6.875</v>
      </c>
      <c r="AF30" s="122">
        <f t="shared" si="3"/>
        <v>6.875</v>
      </c>
      <c r="AJ30" s="8">
        <v>7.125</v>
      </c>
      <c r="AL30" s="122">
        <f t="shared" si="5"/>
        <v>7.125</v>
      </c>
    </row>
    <row r="31" spans="2:38">
      <c r="B31" s="8">
        <f t="shared" si="10"/>
        <v>2047</v>
      </c>
      <c r="AD31" s="8">
        <v>6.875</v>
      </c>
      <c r="AF31" s="122">
        <f t="shared" si="3"/>
        <v>6.875</v>
      </c>
      <c r="AJ31" s="8">
        <v>7.125</v>
      </c>
      <c r="AL31" s="122">
        <f t="shared" si="5"/>
        <v>7.125</v>
      </c>
    </row>
    <row r="32" spans="2:38">
      <c r="B32" s="8">
        <f t="shared" si="10"/>
        <v>2048</v>
      </c>
      <c r="AD32" s="8">
        <v>6.875</v>
      </c>
      <c r="AE32" s="8">
        <v>100</v>
      </c>
      <c r="AF32" s="122">
        <f t="shared" si="3"/>
        <v>106.875</v>
      </c>
      <c r="AJ32" s="8">
        <v>7.125</v>
      </c>
      <c r="AL32" s="122">
        <f t="shared" si="5"/>
        <v>7.125</v>
      </c>
    </row>
    <row r="33" spans="2:38">
      <c r="B33" s="8">
        <f t="shared" si="10"/>
        <v>2049</v>
      </c>
      <c r="AJ33" s="8">
        <v>7.125</v>
      </c>
      <c r="AL33" s="122">
        <f t="shared" si="5"/>
        <v>7.125</v>
      </c>
    </row>
    <row r="34" spans="2:38">
      <c r="B34" s="8">
        <f t="shared" si="10"/>
        <v>2050</v>
      </c>
      <c r="AJ34" s="8">
        <v>7.125</v>
      </c>
      <c r="AL34" s="122">
        <f t="shared" si="5"/>
        <v>7.125</v>
      </c>
    </row>
    <row r="35" spans="2:38">
      <c r="B35" s="8">
        <f t="shared" si="10"/>
        <v>2051</v>
      </c>
      <c r="AJ35" s="8">
        <v>7.125</v>
      </c>
      <c r="AL35" s="122">
        <f t="shared" si="5"/>
        <v>7.125</v>
      </c>
    </row>
    <row r="36" spans="2:38">
      <c r="B36" s="8">
        <f t="shared" si="10"/>
        <v>2052</v>
      </c>
      <c r="AJ36" s="8">
        <v>7.125</v>
      </c>
      <c r="AL36" s="122">
        <f t="shared" si="5"/>
        <v>7.125</v>
      </c>
    </row>
    <row r="37" spans="2:38">
      <c r="B37" s="8">
        <f t="shared" si="10"/>
        <v>2053</v>
      </c>
      <c r="AJ37" s="8">
        <v>7.125</v>
      </c>
      <c r="AL37" s="122">
        <f t="shared" si="5"/>
        <v>7.125</v>
      </c>
    </row>
    <row r="38" spans="2:38">
      <c r="B38" s="8">
        <f t="shared" si="10"/>
        <v>2054</v>
      </c>
      <c r="AJ38" s="8">
        <v>7.125</v>
      </c>
      <c r="AL38" s="122">
        <f t="shared" si="5"/>
        <v>7.125</v>
      </c>
    </row>
    <row r="39" spans="2:38">
      <c r="B39" s="8">
        <f t="shared" si="10"/>
        <v>2055</v>
      </c>
      <c r="AJ39" s="8">
        <v>7.125</v>
      </c>
      <c r="AL39" s="122">
        <f t="shared" si="5"/>
        <v>7.125</v>
      </c>
    </row>
    <row r="40" spans="2:38">
      <c r="B40" s="8">
        <f t="shared" si="10"/>
        <v>2056</v>
      </c>
      <c r="AJ40" s="8">
        <v>7.125</v>
      </c>
      <c r="AL40" s="122">
        <f t="shared" si="5"/>
        <v>7.125</v>
      </c>
    </row>
    <row r="41" spans="2:38">
      <c r="B41" s="8">
        <f t="shared" si="10"/>
        <v>2057</v>
      </c>
      <c r="AJ41" s="8">
        <v>7.125</v>
      </c>
      <c r="AL41" s="122">
        <f t="shared" si="5"/>
        <v>7.125</v>
      </c>
    </row>
    <row r="42" spans="2:38">
      <c r="B42" s="8">
        <f t="shared" si="10"/>
        <v>2058</v>
      </c>
      <c r="AJ42" s="8">
        <v>7.125</v>
      </c>
      <c r="AL42" s="122">
        <f t="shared" si="5"/>
        <v>7.125</v>
      </c>
    </row>
    <row r="43" spans="2:38">
      <c r="B43" s="8">
        <f t="shared" si="10"/>
        <v>2059</v>
      </c>
      <c r="AJ43" s="8">
        <v>7.125</v>
      </c>
      <c r="AL43" s="122">
        <f t="shared" si="5"/>
        <v>7.125</v>
      </c>
    </row>
    <row r="44" spans="2:38">
      <c r="B44" s="8">
        <f t="shared" si="10"/>
        <v>2060</v>
      </c>
      <c r="AJ44" s="8">
        <v>7.125</v>
      </c>
      <c r="AL44" s="122">
        <f t="shared" si="5"/>
        <v>7.125</v>
      </c>
    </row>
    <row r="45" spans="2:38">
      <c r="B45" s="8">
        <f t="shared" si="10"/>
        <v>2061</v>
      </c>
      <c r="AJ45" s="8">
        <v>7.125</v>
      </c>
      <c r="AL45" s="122">
        <f t="shared" si="5"/>
        <v>7.125</v>
      </c>
    </row>
    <row r="46" spans="2:38">
      <c r="B46" s="8">
        <f t="shared" si="10"/>
        <v>2062</v>
      </c>
      <c r="AJ46" s="8">
        <v>7.125</v>
      </c>
      <c r="AL46" s="122">
        <f t="shared" si="5"/>
        <v>7.125</v>
      </c>
    </row>
    <row r="47" spans="2:38">
      <c r="B47" s="8">
        <f t="shared" si="10"/>
        <v>2063</v>
      </c>
      <c r="AJ47" s="8">
        <v>7.125</v>
      </c>
      <c r="AL47" s="122">
        <f t="shared" si="5"/>
        <v>7.125</v>
      </c>
    </row>
    <row r="48" spans="2:38">
      <c r="B48" s="8">
        <f t="shared" si="10"/>
        <v>2064</v>
      </c>
      <c r="AJ48" s="8">
        <v>7.125</v>
      </c>
      <c r="AL48" s="122">
        <f t="shared" si="5"/>
        <v>7.125</v>
      </c>
    </row>
    <row r="49" spans="2:38">
      <c r="B49" s="8">
        <f t="shared" si="10"/>
        <v>2065</v>
      </c>
      <c r="AJ49" s="8">
        <v>7.125</v>
      </c>
      <c r="AL49" s="122">
        <f t="shared" si="5"/>
        <v>7.125</v>
      </c>
    </row>
    <row r="50" spans="2:38">
      <c r="B50" s="8">
        <f t="shared" si="10"/>
        <v>2066</v>
      </c>
      <c r="AJ50" s="8">
        <v>7.125</v>
      </c>
      <c r="AL50" s="122">
        <f t="shared" si="5"/>
        <v>7.125</v>
      </c>
    </row>
    <row r="51" spans="2:38">
      <c r="B51" s="8">
        <f t="shared" si="10"/>
        <v>2067</v>
      </c>
      <c r="AJ51" s="8">
        <v>7.125</v>
      </c>
      <c r="AL51" s="122">
        <f t="shared" si="5"/>
        <v>7.125</v>
      </c>
    </row>
    <row r="52" spans="2:38">
      <c r="B52" s="8">
        <f t="shared" si="10"/>
        <v>2068</v>
      </c>
      <c r="AJ52" s="8">
        <v>7.125</v>
      </c>
      <c r="AL52" s="122">
        <f t="shared" si="5"/>
        <v>7.125</v>
      </c>
    </row>
    <row r="53" spans="2:38">
      <c r="B53" s="8">
        <f t="shared" si="10"/>
        <v>2069</v>
      </c>
      <c r="AJ53" s="8">
        <v>7.125</v>
      </c>
      <c r="AL53" s="122">
        <f t="shared" si="5"/>
        <v>7.125</v>
      </c>
    </row>
    <row r="54" spans="2:38">
      <c r="B54" s="8">
        <f t="shared" si="10"/>
        <v>2070</v>
      </c>
      <c r="AJ54" s="8">
        <v>7.125</v>
      </c>
      <c r="AL54" s="122">
        <f t="shared" si="5"/>
        <v>7.125</v>
      </c>
    </row>
    <row r="55" spans="2:38">
      <c r="B55" s="8">
        <f t="shared" si="10"/>
        <v>2071</v>
      </c>
      <c r="AJ55" s="8">
        <v>7.125</v>
      </c>
      <c r="AL55" s="122">
        <f t="shared" si="5"/>
        <v>7.125</v>
      </c>
    </row>
    <row r="56" spans="2:38">
      <c r="B56" s="8">
        <f t="shared" si="10"/>
        <v>2072</v>
      </c>
      <c r="AJ56" s="8">
        <v>7.125</v>
      </c>
      <c r="AL56" s="122">
        <f t="shared" si="5"/>
        <v>7.125</v>
      </c>
    </row>
    <row r="57" spans="2:38">
      <c r="B57" s="8">
        <f t="shared" si="10"/>
        <v>2073</v>
      </c>
      <c r="AJ57" s="8">
        <v>7.125</v>
      </c>
      <c r="AL57" s="122">
        <f t="shared" si="5"/>
        <v>7.125</v>
      </c>
    </row>
    <row r="58" spans="2:38">
      <c r="B58" s="8">
        <f t="shared" si="10"/>
        <v>2074</v>
      </c>
      <c r="AJ58" s="8">
        <v>7.125</v>
      </c>
      <c r="AL58" s="122">
        <f t="shared" si="5"/>
        <v>7.125</v>
      </c>
    </row>
    <row r="59" spans="2:38">
      <c r="B59" s="8">
        <f t="shared" si="10"/>
        <v>2075</v>
      </c>
      <c r="AJ59" s="8">
        <v>7.125</v>
      </c>
      <c r="AL59" s="122">
        <f t="shared" si="5"/>
        <v>7.125</v>
      </c>
    </row>
    <row r="60" spans="2:38">
      <c r="B60" s="8">
        <f t="shared" si="10"/>
        <v>2076</v>
      </c>
      <c r="AJ60" s="8">
        <v>7.125</v>
      </c>
      <c r="AL60" s="122">
        <f t="shared" si="5"/>
        <v>7.125</v>
      </c>
    </row>
    <row r="61" spans="2:38">
      <c r="B61" s="8">
        <f t="shared" si="10"/>
        <v>2077</v>
      </c>
      <c r="AJ61" s="8">
        <v>7.125</v>
      </c>
      <c r="AL61" s="122">
        <f t="shared" si="5"/>
        <v>7.125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2BFB-A0A3-4BFA-81C9-177C2208461A}">
  <dimension ref="B1:O62"/>
  <sheetViews>
    <sheetView showGridLines="0" workbookViewId="0">
      <pane xSplit="2" ySplit="3" topLeftCell="C4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baseColWidth="10" defaultColWidth="11.5546875" defaultRowHeight="14.4"/>
  <cols>
    <col min="1" max="1" width="11.5546875" style="8"/>
    <col min="2" max="2" width="18.88671875" style="134" bestFit="1" customWidth="1"/>
    <col min="3" max="3" width="18.88671875" style="134" customWidth="1"/>
    <col min="4" max="6" width="11.5546875" style="122"/>
    <col min="7" max="16384" width="11.5546875" style="8"/>
  </cols>
  <sheetData>
    <row r="1" spans="2:15">
      <c r="D1" s="122">
        <f>+IF(D2='Comparación Reestructuración'!$C$2,1,0)</f>
        <v>0</v>
      </c>
      <c r="E1" s="122">
        <f>+IF(E2='Comparación Reestructuración'!$C$2,1,0)</f>
        <v>0</v>
      </c>
      <c r="F1" s="122">
        <f>+IF(F2='Comparación Reestructuración'!$C$2,1,0)</f>
        <v>0</v>
      </c>
      <c r="G1" s="122">
        <f>+IF(G2='Comparación Reestructuración'!$C$2,1,0)</f>
        <v>0</v>
      </c>
      <c r="H1" s="122">
        <f>+IF(H2='Comparación Reestructuración'!$C$2,1,0)</f>
        <v>0</v>
      </c>
      <c r="I1" s="122">
        <f>+IF(I2='Comparación Reestructuración'!$C$2,1,0)</f>
        <v>0</v>
      </c>
      <c r="J1" s="122">
        <f>+IF(J2='Comparación Reestructuración'!$C$2,1,0)</f>
        <v>0</v>
      </c>
      <c r="K1" s="122">
        <f>+IF(K2='Comparación Reestructuración'!$C$2,1,0)</f>
        <v>0</v>
      </c>
      <c r="L1" s="122">
        <f>+IF(L2='Comparación Reestructuración'!$C$2,1,0)</f>
        <v>0</v>
      </c>
      <c r="M1" s="122">
        <f>+IF(M2='Comparación Reestructuración'!$C$2,1,0)</f>
        <v>0</v>
      </c>
      <c r="N1" s="122">
        <f>+IF(N2='Comparación Reestructuración'!$C$2,1,0)</f>
        <v>0</v>
      </c>
      <c r="O1" s="122">
        <f>+IF(O2='Comparación Reestructuración'!$C$2,1,0)</f>
        <v>1</v>
      </c>
    </row>
    <row r="2" spans="2:15" s="122" customFormat="1">
      <c r="B2" s="135"/>
      <c r="C2" s="135"/>
      <c r="D2" s="122" t="s">
        <v>192</v>
      </c>
      <c r="E2" s="122" t="s">
        <v>195</v>
      </c>
      <c r="F2" s="122" t="s">
        <v>196</v>
      </c>
      <c r="G2" s="122" t="s">
        <v>2</v>
      </c>
      <c r="H2" s="122" t="s">
        <v>197</v>
      </c>
      <c r="I2" s="122" t="s">
        <v>198</v>
      </c>
      <c r="J2" s="122" t="s">
        <v>199</v>
      </c>
      <c r="K2" s="122" t="s">
        <v>200</v>
      </c>
      <c r="L2" s="122" t="s">
        <v>201</v>
      </c>
      <c r="M2" s="122" t="s">
        <v>202</v>
      </c>
      <c r="N2" s="122" t="s">
        <v>203</v>
      </c>
      <c r="O2" s="122" t="s">
        <v>204</v>
      </c>
    </row>
    <row r="3" spans="2:15">
      <c r="B3" s="136"/>
      <c r="C3" s="136"/>
      <c r="D3" s="124" t="s">
        <v>1</v>
      </c>
      <c r="E3" s="124" t="s">
        <v>1</v>
      </c>
      <c r="F3" s="124" t="s">
        <v>1</v>
      </c>
      <c r="G3" s="123" t="s">
        <v>1</v>
      </c>
      <c r="H3" s="123" t="s">
        <v>1</v>
      </c>
      <c r="I3" s="123" t="s">
        <v>1</v>
      </c>
      <c r="J3" s="123" t="s">
        <v>1</v>
      </c>
      <c r="K3" s="123" t="s">
        <v>1</v>
      </c>
      <c r="L3" s="123" t="s">
        <v>1</v>
      </c>
      <c r="M3" s="123" t="s">
        <v>1</v>
      </c>
      <c r="N3" s="123" t="s">
        <v>1</v>
      </c>
      <c r="O3" s="123" t="s">
        <v>1</v>
      </c>
    </row>
    <row r="4" spans="2:15" ht="15">
      <c r="B4" s="133" t="s">
        <v>229</v>
      </c>
      <c r="C4" s="133" t="s">
        <v>228</v>
      </c>
      <c r="D4" s="122">
        <v>53.35</v>
      </c>
      <c r="E4" s="122">
        <v>29.55</v>
      </c>
      <c r="F4" s="122">
        <v>32.6</v>
      </c>
      <c r="G4" s="122"/>
      <c r="H4" s="122"/>
      <c r="I4" s="122">
        <v>30.25</v>
      </c>
      <c r="J4" s="122"/>
      <c r="K4" s="122">
        <v>32.25</v>
      </c>
      <c r="L4" s="122">
        <v>30.25</v>
      </c>
      <c r="M4" s="122"/>
      <c r="N4" s="122"/>
      <c r="O4" s="122">
        <v>28.61</v>
      </c>
    </row>
    <row r="5" spans="2:15" ht="15">
      <c r="B5" s="133" t="s">
        <v>220</v>
      </c>
      <c r="C5" s="133" t="s">
        <v>223</v>
      </c>
      <c r="D5" s="122">
        <v>87.5</v>
      </c>
      <c r="E5" s="122">
        <v>46.57</v>
      </c>
      <c r="F5" s="122">
        <v>55.4</v>
      </c>
      <c r="G5" s="122"/>
      <c r="H5" s="122"/>
      <c r="I5" s="122">
        <v>50.5</v>
      </c>
      <c r="J5" s="122"/>
      <c r="K5" s="122">
        <v>49.8</v>
      </c>
      <c r="L5" s="122">
        <v>48</v>
      </c>
      <c r="M5" s="122"/>
      <c r="N5" s="122"/>
      <c r="O5" s="122">
        <v>47.2</v>
      </c>
    </row>
    <row r="6" spans="2:15" ht="15">
      <c r="B6" s="133" t="s">
        <v>221</v>
      </c>
      <c r="C6" s="133" t="s">
        <v>222</v>
      </c>
      <c r="D6" s="122">
        <v>119.5</v>
      </c>
      <c r="E6" s="122">
        <v>60.2</v>
      </c>
      <c r="F6" s="122">
        <v>84.85</v>
      </c>
      <c r="G6" s="122"/>
      <c r="H6" s="122"/>
      <c r="I6" s="122">
        <v>80</v>
      </c>
      <c r="J6" s="122"/>
      <c r="K6" s="122">
        <v>84</v>
      </c>
      <c r="L6" s="122">
        <v>82</v>
      </c>
      <c r="M6" s="122"/>
      <c r="N6" s="122"/>
      <c r="O6" s="122">
        <v>75</v>
      </c>
    </row>
    <row r="7" spans="2:15" ht="15">
      <c r="B7" s="133" t="s">
        <v>224</v>
      </c>
      <c r="C7" s="133" t="s">
        <v>226</v>
      </c>
      <c r="D7" s="122">
        <v>118.25</v>
      </c>
      <c r="E7" s="122">
        <v>58.75</v>
      </c>
      <c r="F7" s="122">
        <v>91</v>
      </c>
      <c r="G7" s="122"/>
      <c r="I7" s="122">
        <v>83.3</v>
      </c>
      <c r="J7" s="122"/>
      <c r="K7" s="122">
        <v>82.15</v>
      </c>
      <c r="L7" s="122">
        <v>76</v>
      </c>
      <c r="M7" s="122"/>
      <c r="N7" s="122"/>
      <c r="O7" s="122">
        <v>76.3</v>
      </c>
    </row>
    <row r="8" spans="2:15" ht="15">
      <c r="B8" s="133" t="s">
        <v>225</v>
      </c>
      <c r="C8" s="133" t="s">
        <v>227</v>
      </c>
      <c r="D8" s="122">
        <v>167</v>
      </c>
      <c r="E8" s="122">
        <v>75</v>
      </c>
      <c r="F8" s="122">
        <v>108.55</v>
      </c>
      <c r="G8" s="122"/>
      <c r="I8" s="122">
        <v>113.45</v>
      </c>
      <c r="J8" s="122"/>
      <c r="K8" s="122">
        <v>112</v>
      </c>
      <c r="L8" s="122">
        <v>114.5</v>
      </c>
      <c r="M8" s="122"/>
      <c r="N8" s="122"/>
      <c r="O8" s="122">
        <v>103.5</v>
      </c>
    </row>
    <row r="9" spans="2:15">
      <c r="I9" s="122"/>
      <c r="J9" s="122"/>
      <c r="K9" s="122"/>
      <c r="L9" s="122"/>
      <c r="M9" s="122"/>
      <c r="N9" s="122"/>
      <c r="O9" s="122"/>
    </row>
    <row r="10" spans="2:15">
      <c r="I10" s="122"/>
      <c r="J10" s="122"/>
      <c r="K10" s="122"/>
      <c r="L10" s="122"/>
      <c r="M10" s="122"/>
      <c r="N10" s="122"/>
      <c r="O10" s="122"/>
    </row>
    <row r="11" spans="2:15">
      <c r="I11" s="122"/>
      <c r="J11" s="122"/>
      <c r="K11" s="122"/>
      <c r="L11" s="122"/>
      <c r="M11" s="122"/>
      <c r="N11" s="122"/>
      <c r="O11" s="122"/>
    </row>
    <row r="12" spans="2:15">
      <c r="I12" s="122"/>
      <c r="J12" s="122"/>
      <c r="L12" s="122"/>
      <c r="M12" s="122"/>
      <c r="N12" s="122"/>
      <c r="O12" s="122"/>
    </row>
    <row r="13" spans="2:15">
      <c r="J13" s="122"/>
      <c r="L13" s="122"/>
      <c r="M13" s="122"/>
      <c r="N13" s="122"/>
      <c r="O13" s="122"/>
    </row>
    <row r="14" spans="2:15">
      <c r="L14" s="122"/>
      <c r="M14" s="122"/>
      <c r="O14" s="122"/>
    </row>
    <row r="15" spans="2:15">
      <c r="L15" s="122"/>
      <c r="M15" s="122"/>
      <c r="O15" s="122"/>
    </row>
    <row r="16" spans="2:15">
      <c r="L16" s="122"/>
      <c r="M16" s="122"/>
      <c r="O16" s="122"/>
    </row>
    <row r="17" spans="12:15">
      <c r="L17" s="122"/>
      <c r="M17" s="122"/>
      <c r="O17" s="122"/>
    </row>
    <row r="18" spans="12:15">
      <c r="L18" s="122"/>
      <c r="M18" s="122"/>
      <c r="O18" s="122"/>
    </row>
    <row r="19" spans="12:15">
      <c r="L19" s="122"/>
      <c r="M19" s="122"/>
      <c r="O19" s="122"/>
    </row>
    <row r="20" spans="12:15">
      <c r="L20" s="122"/>
      <c r="M20" s="122"/>
      <c r="O20" s="122"/>
    </row>
    <row r="21" spans="12:15">
      <c r="L21" s="122"/>
      <c r="M21" s="122"/>
      <c r="O21" s="122"/>
    </row>
    <row r="22" spans="12:15">
      <c r="L22" s="122"/>
      <c r="M22" s="122"/>
      <c r="O22" s="122"/>
    </row>
    <row r="23" spans="12:15">
      <c r="L23" s="122"/>
      <c r="M23" s="122"/>
      <c r="O23" s="122"/>
    </row>
    <row r="24" spans="12:15">
      <c r="L24" s="122"/>
      <c r="M24" s="122"/>
      <c r="O24" s="122"/>
    </row>
    <row r="25" spans="12:15">
      <c r="L25" s="122"/>
      <c r="M25" s="122"/>
      <c r="O25" s="122"/>
    </row>
    <row r="26" spans="12:15">
      <c r="L26" s="122"/>
      <c r="M26" s="122"/>
      <c r="O26" s="122"/>
    </row>
    <row r="27" spans="12:15">
      <c r="L27" s="122"/>
      <c r="M27" s="122"/>
      <c r="O27" s="122"/>
    </row>
    <row r="28" spans="12:15">
      <c r="L28" s="122"/>
      <c r="M28" s="122"/>
      <c r="O28" s="122"/>
    </row>
    <row r="29" spans="12:15">
      <c r="L29" s="122"/>
      <c r="M29" s="122"/>
      <c r="O29" s="122"/>
    </row>
    <row r="30" spans="12:15">
      <c r="L30" s="122"/>
      <c r="M30" s="122"/>
      <c r="O30" s="122"/>
    </row>
    <row r="31" spans="12:15">
      <c r="L31" s="122"/>
      <c r="M31" s="122"/>
      <c r="O31" s="122"/>
    </row>
    <row r="32" spans="12:15">
      <c r="M32" s="122"/>
      <c r="O32" s="122"/>
    </row>
    <row r="33" spans="13:15">
      <c r="M33" s="122"/>
      <c r="O33" s="122"/>
    </row>
    <row r="34" spans="13:15">
      <c r="O34" s="122"/>
    </row>
    <row r="35" spans="13:15">
      <c r="O35" s="122"/>
    </row>
    <row r="36" spans="13:15">
      <c r="O36" s="122"/>
    </row>
    <row r="37" spans="13:15">
      <c r="O37" s="122"/>
    </row>
    <row r="38" spans="13:15">
      <c r="O38" s="122"/>
    </row>
    <row r="39" spans="13:15">
      <c r="O39" s="122"/>
    </row>
    <row r="40" spans="13:15">
      <c r="O40" s="122"/>
    </row>
    <row r="41" spans="13:15">
      <c r="O41" s="122"/>
    </row>
    <row r="42" spans="13:15">
      <c r="O42" s="122"/>
    </row>
    <row r="43" spans="13:15">
      <c r="O43" s="122"/>
    </row>
    <row r="44" spans="13:15">
      <c r="O44" s="122"/>
    </row>
    <row r="45" spans="13:15">
      <c r="O45" s="122"/>
    </row>
    <row r="46" spans="13:15">
      <c r="O46" s="122"/>
    </row>
    <row r="47" spans="13:15">
      <c r="O47" s="122"/>
    </row>
    <row r="48" spans="13:15">
      <c r="O48" s="122"/>
    </row>
    <row r="49" spans="15:15">
      <c r="O49" s="122"/>
    </row>
    <row r="50" spans="15:15">
      <c r="O50" s="122"/>
    </row>
    <row r="51" spans="15:15">
      <c r="O51" s="122"/>
    </row>
    <row r="52" spans="15:15">
      <c r="O52" s="122"/>
    </row>
    <row r="53" spans="15:15">
      <c r="O53" s="122"/>
    </row>
    <row r="54" spans="15:15">
      <c r="O54" s="122"/>
    </row>
    <row r="55" spans="15:15">
      <c r="O55" s="122"/>
    </row>
    <row r="56" spans="15:15">
      <c r="O56" s="122"/>
    </row>
    <row r="57" spans="15:15">
      <c r="O57" s="122"/>
    </row>
    <row r="58" spans="15:15">
      <c r="O58" s="122"/>
    </row>
    <row r="59" spans="15:15">
      <c r="O59" s="122"/>
    </row>
    <row r="60" spans="15:15">
      <c r="O60" s="122"/>
    </row>
    <row r="61" spans="15:15">
      <c r="O61" s="122"/>
    </row>
    <row r="62" spans="15:15">
      <c r="O62" s="1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58D3-CDEF-46EC-860A-95F526A2A86D}">
  <dimension ref="A2:Q43"/>
  <sheetViews>
    <sheetView workbookViewId="0">
      <selection activeCell="E18" sqref="E18"/>
    </sheetView>
  </sheetViews>
  <sheetFormatPr baseColWidth="10" defaultColWidth="11.5546875" defaultRowHeight="14.4"/>
  <cols>
    <col min="9" max="9" width="17.44140625" bestFit="1" customWidth="1"/>
  </cols>
  <sheetData>
    <row r="2" spans="1:14">
      <c r="B2" t="s">
        <v>18</v>
      </c>
      <c r="K2" t="s">
        <v>17</v>
      </c>
      <c r="N2" t="s">
        <v>16</v>
      </c>
    </row>
    <row r="3" spans="1:14">
      <c r="F3" t="s">
        <v>12</v>
      </c>
      <c r="G3" t="s">
        <v>15</v>
      </c>
      <c r="H3" t="s">
        <v>14</v>
      </c>
      <c r="I3" t="s">
        <v>13</v>
      </c>
    </row>
    <row r="4" spans="1:14">
      <c r="A4">
        <v>1981</v>
      </c>
      <c r="B4" s="6">
        <f>+VLOOKUP(A4,'PBI-1980-2005'!$A$15:$AA$194,27,0)</f>
        <v>190494.49291932239</v>
      </c>
      <c r="F4">
        <v>2000</v>
      </c>
      <c r="G4" s="6">
        <f>+B23</f>
        <v>276172.68535265006</v>
      </c>
    </row>
    <row r="5" spans="1:14">
      <c r="A5">
        <f t="shared" ref="A5:A28" si="0">+A4+1</f>
        <v>1982</v>
      </c>
      <c r="B5" s="6">
        <f>+VLOOKUP(A5,'PBI-1980-2005'!$A$15:$AA$194,27,0)</f>
        <v>189093.10272976593</v>
      </c>
      <c r="F5">
        <f t="shared" ref="F5:F23" si="1">+F4+1</f>
        <v>2001</v>
      </c>
      <c r="G5" s="6">
        <f>+B24</f>
        <v>263996.67436681723</v>
      </c>
      <c r="H5" s="11">
        <f t="shared" ref="H5:H23" si="2">+G5/G4-1</f>
        <v>-4.4088396976279753E-2</v>
      </c>
      <c r="I5" s="10">
        <v>1395</v>
      </c>
    </row>
    <row r="6" spans="1:14">
      <c r="A6">
        <f t="shared" si="0"/>
        <v>1983</v>
      </c>
      <c r="B6" s="6">
        <f>+VLOOKUP(A6,'PBI-1980-2005'!$A$15:$AA$194,27,0)</f>
        <v>197316.93815272479</v>
      </c>
      <c r="F6">
        <f t="shared" si="1"/>
        <v>2002</v>
      </c>
      <c r="G6" s="6">
        <f>+B25</f>
        <v>235235.59675290697</v>
      </c>
      <c r="H6" s="11">
        <f t="shared" si="2"/>
        <v>-0.10894484819891104</v>
      </c>
      <c r="I6" s="10">
        <v>2256</v>
      </c>
    </row>
    <row r="7" spans="1:14">
      <c r="A7">
        <f t="shared" si="0"/>
        <v>1984</v>
      </c>
      <c r="B7" s="6">
        <f>+VLOOKUP(A7,'PBI-1980-2005'!$A$15:$AA$194,27,0)</f>
        <v>200416.27166634513</v>
      </c>
      <c r="F7">
        <f t="shared" si="1"/>
        <v>2003</v>
      </c>
      <c r="G7" s="6">
        <f>+B26</f>
        <v>256023.46237514098</v>
      </c>
      <c r="H7" s="11">
        <f t="shared" si="2"/>
        <v>8.8370407834447384E-2</v>
      </c>
      <c r="I7" s="10">
        <v>8677</v>
      </c>
    </row>
    <row r="8" spans="1:14">
      <c r="A8">
        <f t="shared" si="0"/>
        <v>1985</v>
      </c>
      <c r="B8" s="6">
        <f>+VLOOKUP(A8,'PBI-1980-2005'!$A$15:$AA$194,27,0)</f>
        <v>190016.62252389651</v>
      </c>
      <c r="F8">
        <f t="shared" si="1"/>
        <v>2004</v>
      </c>
      <c r="G8" s="6">
        <v>280541.777274122</v>
      </c>
      <c r="H8" s="11">
        <f t="shared" si="2"/>
        <v>9.5765890639566864E-2</v>
      </c>
      <c r="I8" s="10">
        <v>17330</v>
      </c>
    </row>
    <row r="9" spans="1:14">
      <c r="A9">
        <f t="shared" si="0"/>
        <v>1986</v>
      </c>
      <c r="B9" s="6">
        <f>+VLOOKUP(A9,'PBI-1980-2005'!$A$15:$AA$194,27,0)</f>
        <v>201709.06178968598</v>
      </c>
      <c r="F9">
        <f t="shared" si="1"/>
        <v>2005</v>
      </c>
      <c r="G9" s="6">
        <v>305676.48702757963</v>
      </c>
      <c r="H9" s="11">
        <f t="shared" si="2"/>
        <v>8.9593464466071637E-2</v>
      </c>
      <c r="I9" s="10">
        <v>19620</v>
      </c>
    </row>
    <row r="10" spans="1:14">
      <c r="A10">
        <f t="shared" si="0"/>
        <v>1987</v>
      </c>
      <c r="B10" s="6">
        <f>+VLOOKUP(A10,'PBI-1980-2005'!$A$15:$AA$194,27,0)</f>
        <v>207165.0273212702</v>
      </c>
      <c r="F10">
        <f t="shared" si="1"/>
        <v>2006</v>
      </c>
      <c r="G10" s="6">
        <v>331298.8352604704</v>
      </c>
      <c r="H10" s="11">
        <f t="shared" si="2"/>
        <v>8.382178322593381E-2</v>
      </c>
      <c r="I10" s="10">
        <v>23160</v>
      </c>
    </row>
    <row r="11" spans="1:14">
      <c r="A11">
        <f t="shared" si="0"/>
        <v>1988</v>
      </c>
      <c r="B11" s="6">
        <f>+VLOOKUP(A11,'PBI-1980-2005'!$A$15:$AA$194,27,0)</f>
        <v>204907.06661608873</v>
      </c>
      <c r="F11">
        <f t="shared" si="1"/>
        <v>2007</v>
      </c>
      <c r="G11" s="6">
        <v>359966.85455633211</v>
      </c>
      <c r="H11" s="11">
        <f t="shared" si="2"/>
        <v>8.6532206710967285E-2</v>
      </c>
      <c r="I11" s="10">
        <v>25670</v>
      </c>
    </row>
    <row r="12" spans="1:14">
      <c r="A12">
        <f t="shared" si="0"/>
        <v>1989</v>
      </c>
      <c r="B12" s="6">
        <f>+VLOOKUP(A12,'PBI-1980-2005'!$A$15:$AA$194,27,0)</f>
        <v>190241.97101771148</v>
      </c>
      <c r="F12">
        <f t="shared" si="1"/>
        <v>2008</v>
      </c>
      <c r="G12" s="6">
        <v>372465.28883627162</v>
      </c>
      <c r="H12" s="11">
        <f t="shared" si="2"/>
        <v>3.4721069792228887E-2</v>
      </c>
      <c r="I12" s="10">
        <v>32500</v>
      </c>
    </row>
    <row r="13" spans="1:14">
      <c r="A13">
        <f t="shared" si="0"/>
        <v>1990</v>
      </c>
      <c r="B13" s="6">
        <f>+VLOOKUP(A13,'PBI-1980-2005'!$A$15:$AA$194,27,0)</f>
        <v>185548.29490031587</v>
      </c>
      <c r="F13">
        <f t="shared" si="1"/>
        <v>2009</v>
      </c>
      <c r="G13" s="6">
        <v>350691.96026304754</v>
      </c>
      <c r="H13" s="11">
        <f t="shared" si="2"/>
        <v>-5.8457336095002366E-2</v>
      </c>
      <c r="I13" s="10">
        <v>17300</v>
      </c>
    </row>
    <row r="14" spans="1:14">
      <c r="A14">
        <f t="shared" si="0"/>
        <v>1991</v>
      </c>
      <c r="B14" s="6">
        <f>+VLOOKUP(A14,'PBI-1980-2005'!$A$15:$AA$194,27,0)</f>
        <v>202494.62584890696</v>
      </c>
      <c r="F14">
        <f t="shared" si="1"/>
        <v>2010</v>
      </c>
      <c r="G14" s="6">
        <v>387613.1786160862</v>
      </c>
      <c r="H14" s="11">
        <f t="shared" si="2"/>
        <v>0.10528105156829004</v>
      </c>
      <c r="I14" s="10">
        <v>25100</v>
      </c>
    </row>
    <row r="15" spans="1:14">
      <c r="A15">
        <f t="shared" si="0"/>
        <v>1992</v>
      </c>
      <c r="B15" s="6">
        <f>+VLOOKUP(A15,'PBI-1980-2005'!$A$15:$AA$194,27,0)</f>
        <v>218567.21463665666</v>
      </c>
      <c r="F15">
        <f t="shared" si="1"/>
        <v>2011</v>
      </c>
      <c r="G15" s="6">
        <v>412059.94207924418</v>
      </c>
      <c r="H15" s="11">
        <f t="shared" si="2"/>
        <v>6.3070000742599719E-2</v>
      </c>
      <c r="I15" s="10">
        <v>4900</v>
      </c>
    </row>
    <row r="16" spans="1:14">
      <c r="A16">
        <f t="shared" si="0"/>
        <v>1993</v>
      </c>
      <c r="B16" s="6">
        <f>+VLOOKUP(A16,'PBI-1980-2005'!$A$15:$AA$194,27,0)</f>
        <v>236504.98023157252</v>
      </c>
      <c r="F16">
        <f t="shared" si="1"/>
        <v>2012</v>
      </c>
      <c r="G16" s="6">
        <v>406342.05115501041</v>
      </c>
      <c r="H16" s="11">
        <f t="shared" si="2"/>
        <v>-1.3876357151780927E-2</v>
      </c>
      <c r="I16" s="10">
        <v>-4375</v>
      </c>
    </row>
    <row r="17" spans="1:17">
      <c r="A17">
        <f t="shared" si="0"/>
        <v>1994</v>
      </c>
      <c r="B17" s="6">
        <f>+VLOOKUP(A17,'PBI-1980-2005'!$A$15:$AA$194,27,0)</f>
        <v>250307.88553631518</v>
      </c>
      <c r="F17">
        <f t="shared" si="1"/>
        <v>2013</v>
      </c>
      <c r="G17" s="6">
        <v>415926.72271724232</v>
      </c>
      <c r="H17" s="11">
        <f t="shared" si="2"/>
        <v>2.3587693016235534E-2</v>
      </c>
      <c r="I17" s="10">
        <v>-22500</v>
      </c>
    </row>
    <row r="18" spans="1:17">
      <c r="A18">
        <f t="shared" si="0"/>
        <v>1995</v>
      </c>
      <c r="B18" s="6">
        <f>+VLOOKUP(A18,'PBI-1980-2005'!$A$15:$AA$194,27,0)</f>
        <v>243186.10151946038</v>
      </c>
      <c r="F18">
        <f t="shared" si="1"/>
        <v>2014</v>
      </c>
      <c r="G18" s="6">
        <v>405967.50821510429</v>
      </c>
      <c r="H18" s="11">
        <f t="shared" si="2"/>
        <v>-2.3944637259839086E-2</v>
      </c>
      <c r="I18" s="10">
        <v>-38500</v>
      </c>
    </row>
    <row r="19" spans="1:17">
      <c r="A19">
        <f t="shared" si="0"/>
        <v>1996</v>
      </c>
      <c r="B19" s="6">
        <f>+VLOOKUP(A19,'PBI-1980-2005'!$A$15:$AA$194,27,0)</f>
        <v>256626.24305584712</v>
      </c>
      <c r="F19">
        <f t="shared" si="1"/>
        <v>2015</v>
      </c>
      <c r="G19" s="6">
        <v>415838.71295870695</v>
      </c>
      <c r="H19" s="11">
        <f t="shared" si="2"/>
        <v>2.4315258102804549E-2</v>
      </c>
      <c r="I19" s="10">
        <v>-224600</v>
      </c>
      <c r="J19" s="8" t="s">
        <v>12</v>
      </c>
      <c r="K19" s="8" t="s">
        <v>11</v>
      </c>
      <c r="N19" s="8" t="s">
        <v>10</v>
      </c>
    </row>
    <row r="20" spans="1:17">
      <c r="A20">
        <f t="shared" si="0"/>
        <v>1997</v>
      </c>
      <c r="B20" s="6">
        <f>+VLOOKUP(A20,'PBI-1980-2005'!$A$15:$AA$194,27,0)</f>
        <v>277441.31762238027</v>
      </c>
      <c r="F20">
        <f t="shared" si="1"/>
        <v>2016</v>
      </c>
      <c r="G20" s="6">
        <v>404968.04954898206</v>
      </c>
      <c r="H20" s="11">
        <f t="shared" si="2"/>
        <v>-2.614153774279393E-2</v>
      </c>
      <c r="I20" s="10">
        <v>-343000</v>
      </c>
      <c r="J20" s="8">
        <v>1997</v>
      </c>
      <c r="K20" s="10">
        <v>1162</v>
      </c>
    </row>
    <row r="21" spans="1:17">
      <c r="A21">
        <f t="shared" si="0"/>
        <v>1998</v>
      </c>
      <c r="B21" s="6">
        <f>+VLOOKUP(A21,'PBI-1980-2005'!$A$15:$AA$194,27,0)</f>
        <v>288123.3046077239</v>
      </c>
      <c r="F21">
        <f t="shared" si="1"/>
        <v>2017</v>
      </c>
      <c r="G21" s="6">
        <v>416787.54201591649</v>
      </c>
      <c r="H21" s="11">
        <f t="shared" si="2"/>
        <v>2.9186234519236631E-2</v>
      </c>
      <c r="I21" s="10">
        <v>-404000</v>
      </c>
      <c r="J21" s="8">
        <v>1998</v>
      </c>
      <c r="K21" s="10">
        <v>2490</v>
      </c>
      <c r="N21" s="6">
        <v>-4170</v>
      </c>
    </row>
    <row r="22" spans="1:17">
      <c r="A22">
        <f t="shared" si="0"/>
        <v>1999</v>
      </c>
      <c r="B22" s="6">
        <f>+VLOOKUP(A22,'PBI-1980-2005'!$A$15:$AA$194,27,0)</f>
        <v>278369.01387171785</v>
      </c>
      <c r="F22">
        <f t="shared" si="1"/>
        <v>2018</v>
      </c>
      <c r="G22" s="6">
        <v>405676.79321287869</v>
      </c>
      <c r="H22" s="11">
        <f t="shared" si="2"/>
        <v>-2.6658063600695336E-2</v>
      </c>
      <c r="I22" s="10">
        <v>-339000</v>
      </c>
      <c r="J22" s="8">
        <v>1999</v>
      </c>
      <c r="K22" s="10">
        <v>875</v>
      </c>
      <c r="N22" s="6">
        <v>-7350</v>
      </c>
    </row>
    <row r="23" spans="1:17">
      <c r="A23">
        <f t="shared" si="0"/>
        <v>2000</v>
      </c>
      <c r="B23" s="6">
        <f>+VLOOKUP(A23,'PBI-1980-2005'!$A$15:$AA$194,27,0)</f>
        <v>276172.68535265006</v>
      </c>
      <c r="F23">
        <f t="shared" si="1"/>
        <v>2019</v>
      </c>
      <c r="G23" s="6">
        <v>394625.34344699152</v>
      </c>
      <c r="H23" s="11">
        <f t="shared" si="2"/>
        <v>-2.7242006323215828E-2</v>
      </c>
      <c r="I23" s="10">
        <v>-208700</v>
      </c>
      <c r="J23" s="8">
        <v>2000</v>
      </c>
      <c r="K23" s="10">
        <v>2720</v>
      </c>
      <c r="N23" s="6">
        <v>-6936</v>
      </c>
    </row>
    <row r="24" spans="1:17">
      <c r="A24">
        <f t="shared" si="0"/>
        <v>2001</v>
      </c>
      <c r="B24" s="6">
        <f>+VLOOKUP(A24,'PBI-1980-2005'!$A$15:$AA$194,27,0)</f>
        <v>263996.67436681723</v>
      </c>
      <c r="J24" s="8">
        <v>2001</v>
      </c>
      <c r="K24" s="10">
        <v>1395</v>
      </c>
      <c r="N24" s="6">
        <v>-8780</v>
      </c>
    </row>
    <row r="25" spans="1:17">
      <c r="A25">
        <f t="shared" si="0"/>
        <v>2002</v>
      </c>
      <c r="B25" s="6">
        <f>+VLOOKUP(A25,'PBI-1980-2005'!$A$15:$AA$194,27,0)</f>
        <v>235235.59675290697</v>
      </c>
      <c r="J25" s="8">
        <v>2002</v>
      </c>
      <c r="K25" s="10">
        <v>2256</v>
      </c>
      <c r="N25" s="6">
        <v>-4554</v>
      </c>
    </row>
    <row r="26" spans="1:17">
      <c r="A26">
        <f t="shared" si="0"/>
        <v>2003</v>
      </c>
      <c r="B26" s="6">
        <f>+VLOOKUP(A26,'PBI-1980-2005'!$A$15:$AA$194,27,0)</f>
        <v>256023.46237514098</v>
      </c>
      <c r="J26" s="8">
        <v>2003</v>
      </c>
      <c r="K26" s="10">
        <v>8677</v>
      </c>
      <c r="N26" s="6">
        <v>1795</v>
      </c>
    </row>
    <row r="27" spans="1:17">
      <c r="A27">
        <f t="shared" si="0"/>
        <v>2004</v>
      </c>
      <c r="B27" s="6">
        <f>+VLOOKUP(A27,'PBI-1980-2005'!$A$15:$AA$194,27,0)</f>
        <v>279141.28863172425</v>
      </c>
      <c r="J27" s="8">
        <v>2004</v>
      </c>
      <c r="K27" s="10">
        <v>17330</v>
      </c>
      <c r="L27" s="9">
        <f t="shared" ref="L27:L42" si="3">+K27/Q27</f>
        <v>2.0764144793796485E-2</v>
      </c>
      <c r="N27" s="6">
        <v>11630</v>
      </c>
      <c r="O27" s="9">
        <f t="shared" ref="O27:O42" si="4">+N27/Q27</f>
        <v>1.39346222707359E-2</v>
      </c>
      <c r="Q27" s="6">
        <v>834611.78739119205</v>
      </c>
    </row>
    <row r="28" spans="1:17">
      <c r="A28">
        <f t="shared" si="0"/>
        <v>2005</v>
      </c>
      <c r="B28" s="6">
        <f>+VLOOKUP(A28,'PBI-1980-2005'!$A$15:$AA$194,27,0)</f>
        <v>304763.52855029545</v>
      </c>
      <c r="J28" s="8">
        <v>2005</v>
      </c>
      <c r="K28" s="10">
        <v>19620</v>
      </c>
      <c r="L28" s="9">
        <f t="shared" si="3"/>
        <v>1.9808805449895609E-2</v>
      </c>
      <c r="N28" s="6">
        <v>9380</v>
      </c>
      <c r="O28" s="9">
        <f t="shared" si="4"/>
        <v>9.470264786953151E-3</v>
      </c>
      <c r="Q28" s="6">
        <v>990468.61001420941</v>
      </c>
    </row>
    <row r="29" spans="1:17">
      <c r="J29" s="8">
        <v>2006</v>
      </c>
      <c r="K29" s="10">
        <v>23160</v>
      </c>
      <c r="L29" s="9">
        <f t="shared" si="3"/>
        <v>1.912089500688937E-2</v>
      </c>
      <c r="N29" s="6">
        <v>11600</v>
      </c>
      <c r="O29" s="9">
        <f t="shared" si="4"/>
        <v>9.5769595025870773E-3</v>
      </c>
      <c r="Q29" s="6">
        <v>1211240.3729875258</v>
      </c>
    </row>
    <row r="30" spans="1:17">
      <c r="J30" s="8">
        <v>2007</v>
      </c>
      <c r="K30" s="10">
        <v>25670</v>
      </c>
      <c r="L30" s="9">
        <f t="shared" si="3"/>
        <v>1.7025705693778814E-2</v>
      </c>
      <c r="N30" s="6">
        <v>9250</v>
      </c>
      <c r="O30" s="9">
        <f t="shared" si="4"/>
        <v>6.1350906765661878E-3</v>
      </c>
      <c r="Q30" s="6">
        <v>1507720.1768723046</v>
      </c>
    </row>
    <row r="31" spans="1:17">
      <c r="J31" s="8">
        <v>2008</v>
      </c>
      <c r="K31" s="10">
        <v>32500</v>
      </c>
      <c r="L31" s="9">
        <f t="shared" si="3"/>
        <v>1.704900776241464E-2</v>
      </c>
      <c r="N31" s="6">
        <v>14650</v>
      </c>
      <c r="O31" s="9">
        <f t="shared" si="4"/>
        <v>7.6851681144422907E-3</v>
      </c>
      <c r="Q31" s="6">
        <v>1906269.2945479103</v>
      </c>
    </row>
    <row r="32" spans="1:17">
      <c r="J32" s="8">
        <f t="shared" ref="J32:J43" si="5">+J31+1</f>
        <v>2009</v>
      </c>
      <c r="K32" s="10">
        <v>17300</v>
      </c>
      <c r="L32" s="9">
        <f t="shared" si="3"/>
        <v>8.4660088849144253E-3</v>
      </c>
      <c r="N32" s="6">
        <v>-7100</v>
      </c>
      <c r="O32" s="9">
        <f t="shared" si="4"/>
        <v>-3.4744891955429142E-3</v>
      </c>
      <c r="Q32" s="6">
        <v>2043465.845024904</v>
      </c>
    </row>
    <row r="33" spans="10:17">
      <c r="J33" s="8">
        <f t="shared" si="5"/>
        <v>2010</v>
      </c>
      <c r="K33" s="10">
        <v>25100</v>
      </c>
      <c r="L33" s="9">
        <f t="shared" si="3"/>
        <v>9.2018481042616222E-3</v>
      </c>
      <c r="N33" s="6">
        <v>3000</v>
      </c>
      <c r="O33" s="9">
        <f t="shared" si="4"/>
        <v>1.0998224825810705E-3</v>
      </c>
      <c r="Q33" s="6">
        <v>2727712.9241435225</v>
      </c>
    </row>
    <row r="34" spans="10:17">
      <c r="J34" s="8">
        <f t="shared" si="5"/>
        <v>2011</v>
      </c>
      <c r="K34" s="10">
        <v>4900</v>
      </c>
      <c r="L34" s="9">
        <f t="shared" si="3"/>
        <v>1.368837913460849E-3</v>
      </c>
      <c r="N34" s="6">
        <v>-30660</v>
      </c>
      <c r="O34" s="9">
        <f t="shared" si="4"/>
        <v>-8.5650143727978838E-3</v>
      </c>
      <c r="Q34" s="6">
        <v>3579678.7565675122</v>
      </c>
    </row>
    <row r="35" spans="10:17">
      <c r="J35" s="8">
        <f t="shared" si="5"/>
        <v>2012</v>
      </c>
      <c r="K35" s="10">
        <v>-4375</v>
      </c>
      <c r="L35" s="9">
        <f t="shared" si="3"/>
        <v>-1.0180340829938715E-3</v>
      </c>
      <c r="N35" s="6">
        <v>-55500</v>
      </c>
      <c r="O35" s="9">
        <f t="shared" si="4"/>
        <v>-1.2914489509979397E-2</v>
      </c>
      <c r="Q35" s="6">
        <v>4297498.5544038387</v>
      </c>
    </row>
    <row r="36" spans="10:17">
      <c r="J36" s="8">
        <f t="shared" si="5"/>
        <v>2013</v>
      </c>
      <c r="K36" s="10">
        <v>-22500</v>
      </c>
      <c r="L36" s="9">
        <f t="shared" si="3"/>
        <v>-4.1482142132173491E-3</v>
      </c>
      <c r="N36" s="6">
        <v>-64500</v>
      </c>
      <c r="O36" s="9">
        <f t="shared" si="4"/>
        <v>-1.1891547411223068E-2</v>
      </c>
      <c r="Q36" s="6">
        <v>5424020.7577296328</v>
      </c>
    </row>
    <row r="37" spans="10:17">
      <c r="J37" s="8">
        <f t="shared" si="5"/>
        <v>2014</v>
      </c>
      <c r="K37" s="10">
        <v>-38500</v>
      </c>
      <c r="L37" s="9">
        <f t="shared" si="3"/>
        <v>-5.2004634106683663E-3</v>
      </c>
      <c r="N37" s="6">
        <v>-109700</v>
      </c>
      <c r="O37" s="9">
        <f t="shared" si="4"/>
        <v>-1.4817943796112201E-2</v>
      </c>
      <c r="Q37" s="6">
        <v>7403186.4008542197</v>
      </c>
    </row>
    <row r="38" spans="10:17">
      <c r="J38" s="8">
        <f t="shared" si="5"/>
        <v>2015</v>
      </c>
      <c r="K38" s="10">
        <v>-224600</v>
      </c>
      <c r="L38" s="9">
        <f t="shared" si="3"/>
        <v>-2.3637862794431565E-2</v>
      </c>
      <c r="N38" s="6">
        <v>-303760</v>
      </c>
      <c r="O38" s="9">
        <f t="shared" si="4"/>
        <v>-3.1968999120376367E-2</v>
      </c>
      <c r="Q38" s="6">
        <v>9501705.03794064</v>
      </c>
    </row>
    <row r="39" spans="10:17">
      <c r="J39" s="8">
        <f t="shared" si="5"/>
        <v>2016</v>
      </c>
      <c r="K39" s="10">
        <v>-343000</v>
      </c>
      <c r="L39" s="9">
        <f t="shared" si="3"/>
        <v>-2.6093384171015317E-2</v>
      </c>
      <c r="N39" s="6">
        <v>-475000</v>
      </c>
      <c r="O39" s="9">
        <f t="shared" si="4"/>
        <v>-3.6135153006508096E-2</v>
      </c>
      <c r="Q39" s="6">
        <v>13145094.471149756</v>
      </c>
    </row>
    <row r="40" spans="10:17">
      <c r="J40" s="8">
        <f t="shared" si="5"/>
        <v>2017</v>
      </c>
      <c r="K40" s="10">
        <v>-404000</v>
      </c>
      <c r="L40" s="9">
        <f t="shared" si="3"/>
        <v>-2.3885335949153912E-2</v>
      </c>
      <c r="N40" s="6">
        <v>-630000</v>
      </c>
      <c r="O40" s="9">
        <f t="shared" si="4"/>
        <v>-3.7246934772195463E-2</v>
      </c>
      <c r="Q40" s="6">
        <v>16914143.508804649</v>
      </c>
    </row>
    <row r="41" spans="10:17">
      <c r="J41" s="8">
        <f t="shared" si="5"/>
        <v>2018</v>
      </c>
      <c r="K41" s="10">
        <v>-339000</v>
      </c>
      <c r="L41" s="9">
        <f t="shared" si="3"/>
        <v>-1.4395323900181459E-2</v>
      </c>
      <c r="N41" s="6">
        <v>-728000</v>
      </c>
      <c r="O41" s="9">
        <f t="shared" si="4"/>
        <v>-3.0913851915433929E-2</v>
      </c>
      <c r="Q41" s="6">
        <v>23549313.815420769</v>
      </c>
    </row>
    <row r="42" spans="10:17">
      <c r="J42" s="8">
        <f t="shared" si="5"/>
        <v>2019</v>
      </c>
      <c r="K42" s="10">
        <v>-208700</v>
      </c>
      <c r="L42" s="9">
        <f t="shared" si="3"/>
        <v>-5.9876848394577473E-3</v>
      </c>
      <c r="N42" s="6">
        <v>-993000</v>
      </c>
      <c r="O42" s="9">
        <f t="shared" si="4"/>
        <v>-2.8489559394257513E-2</v>
      </c>
      <c r="Q42" s="6">
        <v>34854873.89461536</v>
      </c>
    </row>
    <row r="43" spans="10:17">
      <c r="J43" s="8">
        <f t="shared" si="5"/>
        <v>2020</v>
      </c>
      <c r="K43" s="7">
        <v>412460</v>
      </c>
      <c r="N43" s="6">
        <v>-786000</v>
      </c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E0C4-7B64-4FBC-80D4-EF67B0AD3ACD}">
  <dimension ref="B2:D14"/>
  <sheetViews>
    <sheetView workbookViewId="0">
      <selection activeCell="B14" sqref="B14"/>
    </sheetView>
  </sheetViews>
  <sheetFormatPr baseColWidth="10" defaultColWidth="11.5546875" defaultRowHeight="14.4"/>
  <sheetData>
    <row r="2" spans="2:4">
      <c r="B2" t="s">
        <v>206</v>
      </c>
      <c r="D2" t="s">
        <v>207</v>
      </c>
    </row>
    <row r="3" spans="2:4">
      <c r="B3" t="s">
        <v>195</v>
      </c>
      <c r="D3" t="s">
        <v>208</v>
      </c>
    </row>
    <row r="4" spans="2:4">
      <c r="B4" t="s">
        <v>192</v>
      </c>
      <c r="D4" t="s">
        <v>209</v>
      </c>
    </row>
    <row r="5" spans="2:4">
      <c r="B5" t="s">
        <v>196</v>
      </c>
      <c r="D5" t="s">
        <v>210</v>
      </c>
    </row>
    <row r="6" spans="2:4">
      <c r="B6" t="s">
        <v>2</v>
      </c>
      <c r="D6" t="s">
        <v>211</v>
      </c>
    </row>
    <row r="7" spans="2:4">
      <c r="B7" t="s">
        <v>197</v>
      </c>
      <c r="D7" t="s">
        <v>212</v>
      </c>
    </row>
    <row r="8" spans="2:4">
      <c r="B8" t="s">
        <v>198</v>
      </c>
    </row>
    <row r="9" spans="2:4">
      <c r="B9" t="s">
        <v>199</v>
      </c>
    </row>
    <row r="10" spans="2:4">
      <c r="B10" t="s">
        <v>200</v>
      </c>
    </row>
    <row r="11" spans="2:4">
      <c r="B11" t="s">
        <v>201</v>
      </c>
    </row>
    <row r="12" spans="2:4">
      <c r="B12" t="s">
        <v>202</v>
      </c>
    </row>
    <row r="13" spans="2:4">
      <c r="B13" t="s">
        <v>203</v>
      </c>
    </row>
    <row r="14" spans="2:4">
      <c r="B1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2C99-1C6C-4599-9F3F-F6CE0EAFAB43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193</v>
      </c>
    </row>
  </sheetData>
  <hyperlinks>
    <hyperlink ref="B2" r:id="rId1" display="https://www.bolsar.com/Vistas/Investigaciones/FichaTecnicaEspecie.aspx?Id=12922&amp;UrlVolver=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" xr:uid="{48B59394-0CA9-47A7-A778-CEC8BC937AAB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C5FB-4AA3-4C1A-AA1F-F0C43AFE7770}">
  <dimension ref="B2"/>
  <sheetViews>
    <sheetView topLeftCell="A4" workbookViewId="0">
      <selection activeCell="B2" sqref="B2"/>
    </sheetView>
  </sheetViews>
  <sheetFormatPr baseColWidth="10" defaultColWidth="11.5546875" defaultRowHeight="14.4"/>
  <sheetData>
    <row r="2" spans="2:2">
      <c r="B2" s="5" t="s">
        <v>194</v>
      </c>
    </row>
  </sheetData>
  <hyperlinks>
    <hyperlink ref="B2" r:id="rId1" display="https://www.bolsar.com/Vistas/Investigaciones/FichaTecnicaEspecie.aspx?Id=12919&amp;UrlVolver=https://www.bolsar.com/Vistas/Investigaciones/FichaTecnicaEspecie.aspx?Id=12922&amp;UrlVolver=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" xr:uid="{A7074173-3CB9-44E1-B45F-6B1F81B73F0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0662-0A9A-44CB-A5DF-2814C009A170}">
  <dimension ref="B2"/>
  <sheetViews>
    <sheetView workbookViewId="0">
      <selection activeCell="B25" sqref="B25"/>
    </sheetView>
  </sheetViews>
  <sheetFormatPr baseColWidth="10" defaultColWidth="11.5546875" defaultRowHeight="14.4"/>
  <sheetData>
    <row r="2" spans="2:2">
      <c r="B2" s="5" t="s">
        <v>3</v>
      </c>
    </row>
  </sheetData>
  <hyperlinks>
    <hyperlink ref="B2" r:id="rId1" xr:uid="{316ADEED-13B8-4804-8EAF-F2FCDC630F2A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FB1F-7AC9-4320-8F86-6558243009E0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4</v>
      </c>
    </row>
  </sheetData>
  <hyperlinks>
    <hyperlink ref="B2" r:id="rId1" display="https://www.bolsar.com/Vistas/Investigaciones/FichaTecnicaEspecie.aspx?Id=630847&amp;UrlVolver=https://www.bolsar.com/Vistas/Investigaciones/FichaTecnicaEspecie.aspx?Id=712881&amp;UrlVolver=https://www.bolsar.com/VistasDL/PaginaIntradiarioEspecies.aspx?Especie=A2E3D" xr:uid="{2E034831-778C-4136-BDA8-E3755F945BBB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02A9-F56E-4445-BB2D-F99E714E7169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5</v>
      </c>
    </row>
  </sheetData>
  <hyperlinks>
    <hyperlink ref="B2" r:id="rId1" display="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xr:uid="{80B8FB46-92E9-49E7-87EA-3168FE276F66}"/>
  </hyperlinks>
  <pageMargins left="0.7" right="0.7" top="0.75" bottom="0.75" header="0.3" footer="0.3"/>
  <pageSetup orientation="portrait" horizontalDpi="360" verticalDpi="36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302F-32BB-4E8E-ADCC-DAF145F413BC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6</v>
      </c>
    </row>
  </sheetData>
  <hyperlinks>
    <hyperlink ref="B2" r:id="rId1" display="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xr:uid="{BD592D61-8F5F-4A4C-B1CB-CC0AB6A05ED4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3F2C-54EE-4601-9E98-8E505A5435B9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7</v>
      </c>
    </row>
  </sheetData>
  <hyperlinks>
    <hyperlink ref="B2" r:id="rId1" display="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xr:uid="{3CB3FC0C-4FEB-478D-B263-CECD7D5B32CE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558A-3D41-4436-AFDC-3C171712C21A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8</v>
      </c>
    </row>
  </sheetData>
  <hyperlinks>
    <hyperlink ref="B2" r:id="rId1" display="https://www.bolsar.com/Vistas/Investigaciones/FichaTecnicaEspecie.aspx?Id=630849&amp;UrlVolver=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xr:uid="{92EAC5B6-B423-46D1-9E5F-82B5F57D05B7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95CA2-40BD-488E-AD72-503BC330F017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9</v>
      </c>
    </row>
  </sheetData>
  <hyperlinks>
    <hyperlink ref="B2" r:id="rId1" display="https://www.bolsar.com/Vistas/Investigaciones/FichaTecnicaEspecie.aspx?Id=630861&amp;UrlVolver=https://www.bolsar.com/Vistas/Investigaciones/FichaTecnicaEspecie.aspx?Id=630849&amp;UrlVolver=https://www.bolsar.com/Vistas/Investigaciones/FichaTecnicaEspecie.aspx?Id=712882&amp;UrlVolver=https://www.bolsar.com/Vistas/Investigaciones/FichaTecnicaEspecie.aspx?Id=630853&amp;UrlVolver=https://www.bolsar.com/Vistas/Investigaciones/FichaTecnicaEspecie.aspx?Id=630839&amp;UrlVolver=https://www.bolsar.com/Vistas/Investigaciones/FichaTecnicaEspecie.aspx?Id=630847&amp;UrlVolver=https://www.bolsar.com/Vistas/Investigaciones/FichaTecnicaEspecie.aspx?Id=712881&amp;UrlVolver=https://www.bolsar.com/VistasDL/PaginaIntradiarioEspecies.aspx?Especie=A2E3D" xr:uid="{CA1AECE5-1521-4694-A8EE-4629B68F05C1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67C1-2B1E-4298-8E2B-7BE3EE2DA191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190</v>
      </c>
    </row>
  </sheetData>
  <hyperlinks>
    <hyperlink ref="B2" r:id="rId1" xr:uid="{DA9C322A-14D8-4246-A507-D30E409D90DB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631A-5B0C-4327-9EEB-E49795E52C06}">
  <dimension ref="B2"/>
  <sheetViews>
    <sheetView topLeftCell="A4" workbookViewId="0">
      <selection activeCell="B2" sqref="B2"/>
    </sheetView>
  </sheetViews>
  <sheetFormatPr baseColWidth="10" defaultColWidth="11.5546875" defaultRowHeight="14.4"/>
  <sheetData>
    <row r="2" spans="2:2">
      <c r="B2" s="5" t="s">
        <v>191</v>
      </c>
    </row>
  </sheetData>
  <hyperlinks>
    <hyperlink ref="B2" r:id="rId1" display="https://www.bolsar.com/Vistas/Investigaciones/FichaTecnicaEspecie.aspx?Id=630855&amp;UrlVolver=https://www.bolsar.com/Vistas/Investigaciones/FichaTecnicaEspecie.aspx?Id=693630&amp;UrlVolver=https://www.bolsar.com/Vistas/Investigaciones/FichaTecnicaEspecie.aspx?Id=712897&amp;UrlVolver=https://www.bolsar.com/Vistas/Investigaciones/FichaTecnicaEspecie.aspx?Id=651296&amp;UrlVolver=https://www.bolsar.com/VistasDL/PaginaTitulosPublicos.aspx" xr:uid="{7AB8E2CA-5DE2-41CC-BD5F-9A26BF3364E9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ACA3-F404-4941-BDC8-D663BC389E6B}">
  <dimension ref="B2"/>
  <sheetViews>
    <sheetView workbookViewId="0">
      <selection activeCell="B2" sqref="B2"/>
    </sheetView>
  </sheetViews>
  <sheetFormatPr baseColWidth="10" defaultColWidth="11.5546875" defaultRowHeight="14.4"/>
  <sheetData>
    <row r="2" spans="2:2">
      <c r="B2" s="5" t="s">
        <v>189</v>
      </c>
    </row>
  </sheetData>
  <hyperlinks>
    <hyperlink ref="B2" r:id="rId1" xr:uid="{29423095-4493-469F-BCB1-55733FAF2FCE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C1D3-53DC-43F0-9ECF-0E67BA728DB9}">
  <sheetPr>
    <pageSetUpPr autoPageBreaks="0"/>
  </sheetPr>
  <dimension ref="A1:BV210"/>
  <sheetViews>
    <sheetView showGridLines="0" zoomScale="90" zoomScaleNormal="75" workbookViewId="0">
      <pane xSplit="1" ySplit="13" topLeftCell="P184" activePane="bottomRight" state="frozen"/>
      <selection activeCell="J19" sqref="J19:N43"/>
      <selection pane="topRight" activeCell="J19" sqref="J19:N43"/>
      <selection pane="bottomLeft" activeCell="J19" sqref="J19:N43"/>
      <selection pane="bottomRight" activeCell="J19" sqref="J19:N43"/>
    </sheetView>
  </sheetViews>
  <sheetFormatPr baseColWidth="10" defaultColWidth="11.44140625" defaultRowHeight="11.4"/>
  <cols>
    <col min="1" max="1" width="14.33203125" style="14" customWidth="1"/>
    <col min="2" max="2" width="25.109375" style="14" customWidth="1"/>
    <col min="3" max="3" width="22.44140625" style="14" bestFit="1" customWidth="1"/>
    <col min="4" max="4" width="21.33203125" style="14" bestFit="1" customWidth="1"/>
    <col min="5" max="5" width="24" style="14" bestFit="1" customWidth="1"/>
    <col min="6" max="6" width="17.88671875" style="14" bestFit="1" customWidth="1"/>
    <col min="7" max="7" width="2.5546875" style="14" customWidth="1"/>
    <col min="8" max="8" width="21.5546875" style="13" bestFit="1" customWidth="1"/>
    <col min="9" max="9" width="2.6640625" style="13" customWidth="1"/>
    <col min="10" max="10" width="33.109375" style="13" bestFit="1" customWidth="1"/>
    <col min="11" max="11" width="16.88671875" style="13" bestFit="1" customWidth="1"/>
    <col min="12" max="12" width="24.109375" style="13" bestFit="1" customWidth="1"/>
    <col min="13" max="13" width="20.88671875" style="13" bestFit="1" customWidth="1"/>
    <col min="14" max="14" width="21.109375" style="13" bestFit="1" customWidth="1"/>
    <col min="15" max="15" width="28" style="13" bestFit="1" customWidth="1"/>
    <col min="16" max="16" width="15" style="13" bestFit="1" customWidth="1"/>
    <col min="17" max="17" width="28" style="13" bestFit="1" customWidth="1"/>
    <col min="18" max="18" width="2.5546875" style="13" customWidth="1"/>
    <col min="19" max="19" width="21" style="13" bestFit="1" customWidth="1"/>
    <col min="20" max="20" width="2.5546875" style="14" customWidth="1"/>
    <col min="21" max="21" width="26.33203125" style="13" bestFit="1" customWidth="1"/>
    <col min="22" max="22" width="16" style="13" bestFit="1" customWidth="1"/>
    <col min="23" max="25" width="16" style="13" customWidth="1"/>
    <col min="26" max="26" width="15" style="13" customWidth="1"/>
    <col min="27" max="27" width="16.109375" style="13" bestFit="1" customWidth="1"/>
    <col min="28" max="28" width="11.44140625" style="12"/>
    <col min="29" max="29" width="12.6640625" style="12" bestFit="1" customWidth="1"/>
    <col min="30" max="66" width="11.44140625" style="12"/>
    <col min="67" max="67" width="14" style="12" bestFit="1" customWidth="1"/>
    <col min="68" max="256" width="11.44140625" style="12"/>
    <col min="257" max="257" width="14.33203125" style="12" customWidth="1"/>
    <col min="258" max="258" width="25.109375" style="12" customWidth="1"/>
    <col min="259" max="259" width="22.44140625" style="12" bestFit="1" customWidth="1"/>
    <col min="260" max="260" width="21.33203125" style="12" bestFit="1" customWidth="1"/>
    <col min="261" max="261" width="24" style="12" bestFit="1" customWidth="1"/>
    <col min="262" max="262" width="17.88671875" style="12" bestFit="1" customWidth="1"/>
    <col min="263" max="263" width="2.5546875" style="12" customWidth="1"/>
    <col min="264" max="264" width="21.5546875" style="12" bestFit="1" customWidth="1"/>
    <col min="265" max="265" width="2.6640625" style="12" customWidth="1"/>
    <col min="266" max="266" width="33.109375" style="12" bestFit="1" customWidth="1"/>
    <col min="267" max="267" width="16.88671875" style="12" bestFit="1" customWidth="1"/>
    <col min="268" max="268" width="24.109375" style="12" bestFit="1" customWidth="1"/>
    <col min="269" max="269" width="20.88671875" style="12" bestFit="1" customWidth="1"/>
    <col min="270" max="270" width="21.109375" style="12" bestFit="1" customWidth="1"/>
    <col min="271" max="271" width="28" style="12" bestFit="1" customWidth="1"/>
    <col min="272" max="272" width="15" style="12" bestFit="1" customWidth="1"/>
    <col min="273" max="273" width="28" style="12" bestFit="1" customWidth="1"/>
    <col min="274" max="274" width="2.5546875" style="12" customWidth="1"/>
    <col min="275" max="275" width="21" style="12" bestFit="1" customWidth="1"/>
    <col min="276" max="276" width="2.5546875" style="12" customWidth="1"/>
    <col min="277" max="277" width="26.33203125" style="12" bestFit="1" customWidth="1"/>
    <col min="278" max="278" width="16" style="12" bestFit="1" customWidth="1"/>
    <col min="279" max="281" width="16" style="12" customWidth="1"/>
    <col min="282" max="282" width="15" style="12" customWidth="1"/>
    <col min="283" max="283" width="16.109375" style="12" bestFit="1" customWidth="1"/>
    <col min="284" max="284" width="11.44140625" style="12"/>
    <col min="285" max="285" width="12.6640625" style="12" bestFit="1" customWidth="1"/>
    <col min="286" max="322" width="11.44140625" style="12"/>
    <col min="323" max="323" width="14" style="12" bestFit="1" customWidth="1"/>
    <col min="324" max="512" width="11.44140625" style="12"/>
    <col min="513" max="513" width="14.33203125" style="12" customWidth="1"/>
    <col min="514" max="514" width="25.109375" style="12" customWidth="1"/>
    <col min="515" max="515" width="22.44140625" style="12" bestFit="1" customWidth="1"/>
    <col min="516" max="516" width="21.33203125" style="12" bestFit="1" customWidth="1"/>
    <col min="517" max="517" width="24" style="12" bestFit="1" customWidth="1"/>
    <col min="518" max="518" width="17.88671875" style="12" bestFit="1" customWidth="1"/>
    <col min="519" max="519" width="2.5546875" style="12" customWidth="1"/>
    <col min="520" max="520" width="21.5546875" style="12" bestFit="1" customWidth="1"/>
    <col min="521" max="521" width="2.6640625" style="12" customWidth="1"/>
    <col min="522" max="522" width="33.109375" style="12" bestFit="1" customWidth="1"/>
    <col min="523" max="523" width="16.88671875" style="12" bestFit="1" customWidth="1"/>
    <col min="524" max="524" width="24.109375" style="12" bestFit="1" customWidth="1"/>
    <col min="525" max="525" width="20.88671875" style="12" bestFit="1" customWidth="1"/>
    <col min="526" max="526" width="21.109375" style="12" bestFit="1" customWidth="1"/>
    <col min="527" max="527" width="28" style="12" bestFit="1" customWidth="1"/>
    <col min="528" max="528" width="15" style="12" bestFit="1" customWidth="1"/>
    <col min="529" max="529" width="28" style="12" bestFit="1" customWidth="1"/>
    <col min="530" max="530" width="2.5546875" style="12" customWidth="1"/>
    <col min="531" max="531" width="21" style="12" bestFit="1" customWidth="1"/>
    <col min="532" max="532" width="2.5546875" style="12" customWidth="1"/>
    <col min="533" max="533" width="26.33203125" style="12" bestFit="1" customWidth="1"/>
    <col min="534" max="534" width="16" style="12" bestFit="1" customWidth="1"/>
    <col min="535" max="537" width="16" style="12" customWidth="1"/>
    <col min="538" max="538" width="15" style="12" customWidth="1"/>
    <col min="539" max="539" width="16.109375" style="12" bestFit="1" customWidth="1"/>
    <col min="540" max="540" width="11.44140625" style="12"/>
    <col min="541" max="541" width="12.6640625" style="12" bestFit="1" customWidth="1"/>
    <col min="542" max="578" width="11.44140625" style="12"/>
    <col min="579" max="579" width="14" style="12" bestFit="1" customWidth="1"/>
    <col min="580" max="768" width="11.44140625" style="12"/>
    <col min="769" max="769" width="14.33203125" style="12" customWidth="1"/>
    <col min="770" max="770" width="25.109375" style="12" customWidth="1"/>
    <col min="771" max="771" width="22.44140625" style="12" bestFit="1" customWidth="1"/>
    <col min="772" max="772" width="21.33203125" style="12" bestFit="1" customWidth="1"/>
    <col min="773" max="773" width="24" style="12" bestFit="1" customWidth="1"/>
    <col min="774" max="774" width="17.88671875" style="12" bestFit="1" customWidth="1"/>
    <col min="775" max="775" width="2.5546875" style="12" customWidth="1"/>
    <col min="776" max="776" width="21.5546875" style="12" bestFit="1" customWidth="1"/>
    <col min="777" max="777" width="2.6640625" style="12" customWidth="1"/>
    <col min="778" max="778" width="33.109375" style="12" bestFit="1" customWidth="1"/>
    <col min="779" max="779" width="16.88671875" style="12" bestFit="1" customWidth="1"/>
    <col min="780" max="780" width="24.109375" style="12" bestFit="1" customWidth="1"/>
    <col min="781" max="781" width="20.88671875" style="12" bestFit="1" customWidth="1"/>
    <col min="782" max="782" width="21.109375" style="12" bestFit="1" customWidth="1"/>
    <col min="783" max="783" width="28" style="12" bestFit="1" customWidth="1"/>
    <col min="784" max="784" width="15" style="12" bestFit="1" customWidth="1"/>
    <col min="785" max="785" width="28" style="12" bestFit="1" customWidth="1"/>
    <col min="786" max="786" width="2.5546875" style="12" customWidth="1"/>
    <col min="787" max="787" width="21" style="12" bestFit="1" customWidth="1"/>
    <col min="788" max="788" width="2.5546875" style="12" customWidth="1"/>
    <col min="789" max="789" width="26.33203125" style="12" bestFit="1" customWidth="1"/>
    <col min="790" max="790" width="16" style="12" bestFit="1" customWidth="1"/>
    <col min="791" max="793" width="16" style="12" customWidth="1"/>
    <col min="794" max="794" width="15" style="12" customWidth="1"/>
    <col min="795" max="795" width="16.109375" style="12" bestFit="1" customWidth="1"/>
    <col min="796" max="796" width="11.44140625" style="12"/>
    <col min="797" max="797" width="12.6640625" style="12" bestFit="1" customWidth="1"/>
    <col min="798" max="834" width="11.44140625" style="12"/>
    <col min="835" max="835" width="14" style="12" bestFit="1" customWidth="1"/>
    <col min="836" max="1024" width="11.44140625" style="12"/>
    <col min="1025" max="1025" width="14.33203125" style="12" customWidth="1"/>
    <col min="1026" max="1026" width="25.109375" style="12" customWidth="1"/>
    <col min="1027" max="1027" width="22.44140625" style="12" bestFit="1" customWidth="1"/>
    <col min="1028" max="1028" width="21.33203125" style="12" bestFit="1" customWidth="1"/>
    <col min="1029" max="1029" width="24" style="12" bestFit="1" customWidth="1"/>
    <col min="1030" max="1030" width="17.88671875" style="12" bestFit="1" customWidth="1"/>
    <col min="1031" max="1031" width="2.5546875" style="12" customWidth="1"/>
    <col min="1032" max="1032" width="21.5546875" style="12" bestFit="1" customWidth="1"/>
    <col min="1033" max="1033" width="2.6640625" style="12" customWidth="1"/>
    <col min="1034" max="1034" width="33.109375" style="12" bestFit="1" customWidth="1"/>
    <col min="1035" max="1035" width="16.88671875" style="12" bestFit="1" customWidth="1"/>
    <col min="1036" max="1036" width="24.109375" style="12" bestFit="1" customWidth="1"/>
    <col min="1037" max="1037" width="20.88671875" style="12" bestFit="1" customWidth="1"/>
    <col min="1038" max="1038" width="21.109375" style="12" bestFit="1" customWidth="1"/>
    <col min="1039" max="1039" width="28" style="12" bestFit="1" customWidth="1"/>
    <col min="1040" max="1040" width="15" style="12" bestFit="1" customWidth="1"/>
    <col min="1041" max="1041" width="28" style="12" bestFit="1" customWidth="1"/>
    <col min="1042" max="1042" width="2.5546875" style="12" customWidth="1"/>
    <col min="1043" max="1043" width="21" style="12" bestFit="1" customWidth="1"/>
    <col min="1044" max="1044" width="2.5546875" style="12" customWidth="1"/>
    <col min="1045" max="1045" width="26.33203125" style="12" bestFit="1" customWidth="1"/>
    <col min="1046" max="1046" width="16" style="12" bestFit="1" customWidth="1"/>
    <col min="1047" max="1049" width="16" style="12" customWidth="1"/>
    <col min="1050" max="1050" width="15" style="12" customWidth="1"/>
    <col min="1051" max="1051" width="16.109375" style="12" bestFit="1" customWidth="1"/>
    <col min="1052" max="1052" width="11.44140625" style="12"/>
    <col min="1053" max="1053" width="12.6640625" style="12" bestFit="1" customWidth="1"/>
    <col min="1054" max="1090" width="11.44140625" style="12"/>
    <col min="1091" max="1091" width="14" style="12" bestFit="1" customWidth="1"/>
    <col min="1092" max="1280" width="11.44140625" style="12"/>
    <col min="1281" max="1281" width="14.33203125" style="12" customWidth="1"/>
    <col min="1282" max="1282" width="25.109375" style="12" customWidth="1"/>
    <col min="1283" max="1283" width="22.44140625" style="12" bestFit="1" customWidth="1"/>
    <col min="1284" max="1284" width="21.33203125" style="12" bestFit="1" customWidth="1"/>
    <col min="1285" max="1285" width="24" style="12" bestFit="1" customWidth="1"/>
    <col min="1286" max="1286" width="17.88671875" style="12" bestFit="1" customWidth="1"/>
    <col min="1287" max="1287" width="2.5546875" style="12" customWidth="1"/>
    <col min="1288" max="1288" width="21.5546875" style="12" bestFit="1" customWidth="1"/>
    <col min="1289" max="1289" width="2.6640625" style="12" customWidth="1"/>
    <col min="1290" max="1290" width="33.109375" style="12" bestFit="1" customWidth="1"/>
    <col min="1291" max="1291" width="16.88671875" style="12" bestFit="1" customWidth="1"/>
    <col min="1292" max="1292" width="24.109375" style="12" bestFit="1" customWidth="1"/>
    <col min="1293" max="1293" width="20.88671875" style="12" bestFit="1" customWidth="1"/>
    <col min="1294" max="1294" width="21.109375" style="12" bestFit="1" customWidth="1"/>
    <col min="1295" max="1295" width="28" style="12" bestFit="1" customWidth="1"/>
    <col min="1296" max="1296" width="15" style="12" bestFit="1" customWidth="1"/>
    <col min="1297" max="1297" width="28" style="12" bestFit="1" customWidth="1"/>
    <col min="1298" max="1298" width="2.5546875" style="12" customWidth="1"/>
    <col min="1299" max="1299" width="21" style="12" bestFit="1" customWidth="1"/>
    <col min="1300" max="1300" width="2.5546875" style="12" customWidth="1"/>
    <col min="1301" max="1301" width="26.33203125" style="12" bestFit="1" customWidth="1"/>
    <col min="1302" max="1302" width="16" style="12" bestFit="1" customWidth="1"/>
    <col min="1303" max="1305" width="16" style="12" customWidth="1"/>
    <col min="1306" max="1306" width="15" style="12" customWidth="1"/>
    <col min="1307" max="1307" width="16.109375" style="12" bestFit="1" customWidth="1"/>
    <col min="1308" max="1308" width="11.44140625" style="12"/>
    <col min="1309" max="1309" width="12.6640625" style="12" bestFit="1" customWidth="1"/>
    <col min="1310" max="1346" width="11.44140625" style="12"/>
    <col min="1347" max="1347" width="14" style="12" bestFit="1" customWidth="1"/>
    <col min="1348" max="1536" width="11.44140625" style="12"/>
    <col min="1537" max="1537" width="14.33203125" style="12" customWidth="1"/>
    <col min="1538" max="1538" width="25.109375" style="12" customWidth="1"/>
    <col min="1539" max="1539" width="22.44140625" style="12" bestFit="1" customWidth="1"/>
    <col min="1540" max="1540" width="21.33203125" style="12" bestFit="1" customWidth="1"/>
    <col min="1541" max="1541" width="24" style="12" bestFit="1" customWidth="1"/>
    <col min="1542" max="1542" width="17.88671875" style="12" bestFit="1" customWidth="1"/>
    <col min="1543" max="1543" width="2.5546875" style="12" customWidth="1"/>
    <col min="1544" max="1544" width="21.5546875" style="12" bestFit="1" customWidth="1"/>
    <col min="1545" max="1545" width="2.6640625" style="12" customWidth="1"/>
    <col min="1546" max="1546" width="33.109375" style="12" bestFit="1" customWidth="1"/>
    <col min="1547" max="1547" width="16.88671875" style="12" bestFit="1" customWidth="1"/>
    <col min="1548" max="1548" width="24.109375" style="12" bestFit="1" customWidth="1"/>
    <col min="1549" max="1549" width="20.88671875" style="12" bestFit="1" customWidth="1"/>
    <col min="1550" max="1550" width="21.109375" style="12" bestFit="1" customWidth="1"/>
    <col min="1551" max="1551" width="28" style="12" bestFit="1" customWidth="1"/>
    <col min="1552" max="1552" width="15" style="12" bestFit="1" customWidth="1"/>
    <col min="1553" max="1553" width="28" style="12" bestFit="1" customWidth="1"/>
    <col min="1554" max="1554" width="2.5546875" style="12" customWidth="1"/>
    <col min="1555" max="1555" width="21" style="12" bestFit="1" customWidth="1"/>
    <col min="1556" max="1556" width="2.5546875" style="12" customWidth="1"/>
    <col min="1557" max="1557" width="26.33203125" style="12" bestFit="1" customWidth="1"/>
    <col min="1558" max="1558" width="16" style="12" bestFit="1" customWidth="1"/>
    <col min="1559" max="1561" width="16" style="12" customWidth="1"/>
    <col min="1562" max="1562" width="15" style="12" customWidth="1"/>
    <col min="1563" max="1563" width="16.109375" style="12" bestFit="1" customWidth="1"/>
    <col min="1564" max="1564" width="11.44140625" style="12"/>
    <col min="1565" max="1565" width="12.6640625" style="12" bestFit="1" customWidth="1"/>
    <col min="1566" max="1602" width="11.44140625" style="12"/>
    <col min="1603" max="1603" width="14" style="12" bestFit="1" customWidth="1"/>
    <col min="1604" max="1792" width="11.44140625" style="12"/>
    <col min="1793" max="1793" width="14.33203125" style="12" customWidth="1"/>
    <col min="1794" max="1794" width="25.109375" style="12" customWidth="1"/>
    <col min="1795" max="1795" width="22.44140625" style="12" bestFit="1" customWidth="1"/>
    <col min="1796" max="1796" width="21.33203125" style="12" bestFit="1" customWidth="1"/>
    <col min="1797" max="1797" width="24" style="12" bestFit="1" customWidth="1"/>
    <col min="1798" max="1798" width="17.88671875" style="12" bestFit="1" customWidth="1"/>
    <col min="1799" max="1799" width="2.5546875" style="12" customWidth="1"/>
    <col min="1800" max="1800" width="21.5546875" style="12" bestFit="1" customWidth="1"/>
    <col min="1801" max="1801" width="2.6640625" style="12" customWidth="1"/>
    <col min="1802" max="1802" width="33.109375" style="12" bestFit="1" customWidth="1"/>
    <col min="1803" max="1803" width="16.88671875" style="12" bestFit="1" customWidth="1"/>
    <col min="1804" max="1804" width="24.109375" style="12" bestFit="1" customWidth="1"/>
    <col min="1805" max="1805" width="20.88671875" style="12" bestFit="1" customWidth="1"/>
    <col min="1806" max="1806" width="21.109375" style="12" bestFit="1" customWidth="1"/>
    <col min="1807" max="1807" width="28" style="12" bestFit="1" customWidth="1"/>
    <col min="1808" max="1808" width="15" style="12" bestFit="1" customWidth="1"/>
    <col min="1809" max="1809" width="28" style="12" bestFit="1" customWidth="1"/>
    <col min="1810" max="1810" width="2.5546875" style="12" customWidth="1"/>
    <col min="1811" max="1811" width="21" style="12" bestFit="1" customWidth="1"/>
    <col min="1812" max="1812" width="2.5546875" style="12" customWidth="1"/>
    <col min="1813" max="1813" width="26.33203125" style="12" bestFit="1" customWidth="1"/>
    <col min="1814" max="1814" width="16" style="12" bestFit="1" customWidth="1"/>
    <col min="1815" max="1817" width="16" style="12" customWidth="1"/>
    <col min="1818" max="1818" width="15" style="12" customWidth="1"/>
    <col min="1819" max="1819" width="16.109375" style="12" bestFit="1" customWidth="1"/>
    <col min="1820" max="1820" width="11.44140625" style="12"/>
    <col min="1821" max="1821" width="12.6640625" style="12" bestFit="1" customWidth="1"/>
    <col min="1822" max="1858" width="11.44140625" style="12"/>
    <col min="1859" max="1859" width="14" style="12" bestFit="1" customWidth="1"/>
    <col min="1860" max="2048" width="11.44140625" style="12"/>
    <col min="2049" max="2049" width="14.33203125" style="12" customWidth="1"/>
    <col min="2050" max="2050" width="25.109375" style="12" customWidth="1"/>
    <col min="2051" max="2051" width="22.44140625" style="12" bestFit="1" customWidth="1"/>
    <col min="2052" max="2052" width="21.33203125" style="12" bestFit="1" customWidth="1"/>
    <col min="2053" max="2053" width="24" style="12" bestFit="1" customWidth="1"/>
    <col min="2054" max="2054" width="17.88671875" style="12" bestFit="1" customWidth="1"/>
    <col min="2055" max="2055" width="2.5546875" style="12" customWidth="1"/>
    <col min="2056" max="2056" width="21.5546875" style="12" bestFit="1" customWidth="1"/>
    <col min="2057" max="2057" width="2.6640625" style="12" customWidth="1"/>
    <col min="2058" max="2058" width="33.109375" style="12" bestFit="1" customWidth="1"/>
    <col min="2059" max="2059" width="16.88671875" style="12" bestFit="1" customWidth="1"/>
    <col min="2060" max="2060" width="24.109375" style="12" bestFit="1" customWidth="1"/>
    <col min="2061" max="2061" width="20.88671875" style="12" bestFit="1" customWidth="1"/>
    <col min="2062" max="2062" width="21.109375" style="12" bestFit="1" customWidth="1"/>
    <col min="2063" max="2063" width="28" style="12" bestFit="1" customWidth="1"/>
    <col min="2064" max="2064" width="15" style="12" bestFit="1" customWidth="1"/>
    <col min="2065" max="2065" width="28" style="12" bestFit="1" customWidth="1"/>
    <col min="2066" max="2066" width="2.5546875" style="12" customWidth="1"/>
    <col min="2067" max="2067" width="21" style="12" bestFit="1" customWidth="1"/>
    <col min="2068" max="2068" width="2.5546875" style="12" customWidth="1"/>
    <col min="2069" max="2069" width="26.33203125" style="12" bestFit="1" customWidth="1"/>
    <col min="2070" max="2070" width="16" style="12" bestFit="1" customWidth="1"/>
    <col min="2071" max="2073" width="16" style="12" customWidth="1"/>
    <col min="2074" max="2074" width="15" style="12" customWidth="1"/>
    <col min="2075" max="2075" width="16.109375" style="12" bestFit="1" customWidth="1"/>
    <col min="2076" max="2076" width="11.44140625" style="12"/>
    <col min="2077" max="2077" width="12.6640625" style="12" bestFit="1" customWidth="1"/>
    <col min="2078" max="2114" width="11.44140625" style="12"/>
    <col min="2115" max="2115" width="14" style="12" bestFit="1" customWidth="1"/>
    <col min="2116" max="2304" width="11.44140625" style="12"/>
    <col min="2305" max="2305" width="14.33203125" style="12" customWidth="1"/>
    <col min="2306" max="2306" width="25.109375" style="12" customWidth="1"/>
    <col min="2307" max="2307" width="22.44140625" style="12" bestFit="1" customWidth="1"/>
    <col min="2308" max="2308" width="21.33203125" style="12" bestFit="1" customWidth="1"/>
    <col min="2309" max="2309" width="24" style="12" bestFit="1" customWidth="1"/>
    <col min="2310" max="2310" width="17.88671875" style="12" bestFit="1" customWidth="1"/>
    <col min="2311" max="2311" width="2.5546875" style="12" customWidth="1"/>
    <col min="2312" max="2312" width="21.5546875" style="12" bestFit="1" customWidth="1"/>
    <col min="2313" max="2313" width="2.6640625" style="12" customWidth="1"/>
    <col min="2314" max="2314" width="33.109375" style="12" bestFit="1" customWidth="1"/>
    <col min="2315" max="2315" width="16.88671875" style="12" bestFit="1" customWidth="1"/>
    <col min="2316" max="2316" width="24.109375" style="12" bestFit="1" customWidth="1"/>
    <col min="2317" max="2317" width="20.88671875" style="12" bestFit="1" customWidth="1"/>
    <col min="2318" max="2318" width="21.109375" style="12" bestFit="1" customWidth="1"/>
    <col min="2319" max="2319" width="28" style="12" bestFit="1" customWidth="1"/>
    <col min="2320" max="2320" width="15" style="12" bestFit="1" customWidth="1"/>
    <col min="2321" max="2321" width="28" style="12" bestFit="1" customWidth="1"/>
    <col min="2322" max="2322" width="2.5546875" style="12" customWidth="1"/>
    <col min="2323" max="2323" width="21" style="12" bestFit="1" customWidth="1"/>
    <col min="2324" max="2324" width="2.5546875" style="12" customWidth="1"/>
    <col min="2325" max="2325" width="26.33203125" style="12" bestFit="1" customWidth="1"/>
    <col min="2326" max="2326" width="16" style="12" bestFit="1" customWidth="1"/>
    <col min="2327" max="2329" width="16" style="12" customWidth="1"/>
    <col min="2330" max="2330" width="15" style="12" customWidth="1"/>
    <col min="2331" max="2331" width="16.109375" style="12" bestFit="1" customWidth="1"/>
    <col min="2332" max="2332" width="11.44140625" style="12"/>
    <col min="2333" max="2333" width="12.6640625" style="12" bestFit="1" customWidth="1"/>
    <col min="2334" max="2370" width="11.44140625" style="12"/>
    <col min="2371" max="2371" width="14" style="12" bestFit="1" customWidth="1"/>
    <col min="2372" max="2560" width="11.44140625" style="12"/>
    <col min="2561" max="2561" width="14.33203125" style="12" customWidth="1"/>
    <col min="2562" max="2562" width="25.109375" style="12" customWidth="1"/>
    <col min="2563" max="2563" width="22.44140625" style="12" bestFit="1" customWidth="1"/>
    <col min="2564" max="2564" width="21.33203125" style="12" bestFit="1" customWidth="1"/>
    <col min="2565" max="2565" width="24" style="12" bestFit="1" customWidth="1"/>
    <col min="2566" max="2566" width="17.88671875" style="12" bestFit="1" customWidth="1"/>
    <col min="2567" max="2567" width="2.5546875" style="12" customWidth="1"/>
    <col min="2568" max="2568" width="21.5546875" style="12" bestFit="1" customWidth="1"/>
    <col min="2569" max="2569" width="2.6640625" style="12" customWidth="1"/>
    <col min="2570" max="2570" width="33.109375" style="12" bestFit="1" customWidth="1"/>
    <col min="2571" max="2571" width="16.88671875" style="12" bestFit="1" customWidth="1"/>
    <col min="2572" max="2572" width="24.109375" style="12" bestFit="1" customWidth="1"/>
    <col min="2573" max="2573" width="20.88671875" style="12" bestFit="1" customWidth="1"/>
    <col min="2574" max="2574" width="21.109375" style="12" bestFit="1" customWidth="1"/>
    <col min="2575" max="2575" width="28" style="12" bestFit="1" customWidth="1"/>
    <col min="2576" max="2576" width="15" style="12" bestFit="1" customWidth="1"/>
    <col min="2577" max="2577" width="28" style="12" bestFit="1" customWidth="1"/>
    <col min="2578" max="2578" width="2.5546875" style="12" customWidth="1"/>
    <col min="2579" max="2579" width="21" style="12" bestFit="1" customWidth="1"/>
    <col min="2580" max="2580" width="2.5546875" style="12" customWidth="1"/>
    <col min="2581" max="2581" width="26.33203125" style="12" bestFit="1" customWidth="1"/>
    <col min="2582" max="2582" width="16" style="12" bestFit="1" customWidth="1"/>
    <col min="2583" max="2585" width="16" style="12" customWidth="1"/>
    <col min="2586" max="2586" width="15" style="12" customWidth="1"/>
    <col min="2587" max="2587" width="16.109375" style="12" bestFit="1" customWidth="1"/>
    <col min="2588" max="2588" width="11.44140625" style="12"/>
    <col min="2589" max="2589" width="12.6640625" style="12" bestFit="1" customWidth="1"/>
    <col min="2590" max="2626" width="11.44140625" style="12"/>
    <col min="2627" max="2627" width="14" style="12" bestFit="1" customWidth="1"/>
    <col min="2628" max="2816" width="11.44140625" style="12"/>
    <col min="2817" max="2817" width="14.33203125" style="12" customWidth="1"/>
    <col min="2818" max="2818" width="25.109375" style="12" customWidth="1"/>
    <col min="2819" max="2819" width="22.44140625" style="12" bestFit="1" customWidth="1"/>
    <col min="2820" max="2820" width="21.33203125" style="12" bestFit="1" customWidth="1"/>
    <col min="2821" max="2821" width="24" style="12" bestFit="1" customWidth="1"/>
    <col min="2822" max="2822" width="17.88671875" style="12" bestFit="1" customWidth="1"/>
    <col min="2823" max="2823" width="2.5546875" style="12" customWidth="1"/>
    <col min="2824" max="2824" width="21.5546875" style="12" bestFit="1" customWidth="1"/>
    <col min="2825" max="2825" width="2.6640625" style="12" customWidth="1"/>
    <col min="2826" max="2826" width="33.109375" style="12" bestFit="1" customWidth="1"/>
    <col min="2827" max="2827" width="16.88671875" style="12" bestFit="1" customWidth="1"/>
    <col min="2828" max="2828" width="24.109375" style="12" bestFit="1" customWidth="1"/>
    <col min="2829" max="2829" width="20.88671875" style="12" bestFit="1" customWidth="1"/>
    <col min="2830" max="2830" width="21.109375" style="12" bestFit="1" customWidth="1"/>
    <col min="2831" max="2831" width="28" style="12" bestFit="1" customWidth="1"/>
    <col min="2832" max="2832" width="15" style="12" bestFit="1" customWidth="1"/>
    <col min="2833" max="2833" width="28" style="12" bestFit="1" customWidth="1"/>
    <col min="2834" max="2834" width="2.5546875" style="12" customWidth="1"/>
    <col min="2835" max="2835" width="21" style="12" bestFit="1" customWidth="1"/>
    <col min="2836" max="2836" width="2.5546875" style="12" customWidth="1"/>
    <col min="2837" max="2837" width="26.33203125" style="12" bestFit="1" customWidth="1"/>
    <col min="2838" max="2838" width="16" style="12" bestFit="1" customWidth="1"/>
    <col min="2839" max="2841" width="16" style="12" customWidth="1"/>
    <col min="2842" max="2842" width="15" style="12" customWidth="1"/>
    <col min="2843" max="2843" width="16.109375" style="12" bestFit="1" customWidth="1"/>
    <col min="2844" max="2844" width="11.44140625" style="12"/>
    <col min="2845" max="2845" width="12.6640625" style="12" bestFit="1" customWidth="1"/>
    <col min="2846" max="2882" width="11.44140625" style="12"/>
    <col min="2883" max="2883" width="14" style="12" bestFit="1" customWidth="1"/>
    <col min="2884" max="3072" width="11.44140625" style="12"/>
    <col min="3073" max="3073" width="14.33203125" style="12" customWidth="1"/>
    <col min="3074" max="3074" width="25.109375" style="12" customWidth="1"/>
    <col min="3075" max="3075" width="22.44140625" style="12" bestFit="1" customWidth="1"/>
    <col min="3076" max="3076" width="21.33203125" style="12" bestFit="1" customWidth="1"/>
    <col min="3077" max="3077" width="24" style="12" bestFit="1" customWidth="1"/>
    <col min="3078" max="3078" width="17.88671875" style="12" bestFit="1" customWidth="1"/>
    <col min="3079" max="3079" width="2.5546875" style="12" customWidth="1"/>
    <col min="3080" max="3080" width="21.5546875" style="12" bestFit="1" customWidth="1"/>
    <col min="3081" max="3081" width="2.6640625" style="12" customWidth="1"/>
    <col min="3082" max="3082" width="33.109375" style="12" bestFit="1" customWidth="1"/>
    <col min="3083" max="3083" width="16.88671875" style="12" bestFit="1" customWidth="1"/>
    <col min="3084" max="3084" width="24.109375" style="12" bestFit="1" customWidth="1"/>
    <col min="3085" max="3085" width="20.88671875" style="12" bestFit="1" customWidth="1"/>
    <col min="3086" max="3086" width="21.109375" style="12" bestFit="1" customWidth="1"/>
    <col min="3087" max="3087" width="28" style="12" bestFit="1" customWidth="1"/>
    <col min="3088" max="3088" width="15" style="12" bestFit="1" customWidth="1"/>
    <col min="3089" max="3089" width="28" style="12" bestFit="1" customWidth="1"/>
    <col min="3090" max="3090" width="2.5546875" style="12" customWidth="1"/>
    <col min="3091" max="3091" width="21" style="12" bestFit="1" customWidth="1"/>
    <col min="3092" max="3092" width="2.5546875" style="12" customWidth="1"/>
    <col min="3093" max="3093" width="26.33203125" style="12" bestFit="1" customWidth="1"/>
    <col min="3094" max="3094" width="16" style="12" bestFit="1" customWidth="1"/>
    <col min="3095" max="3097" width="16" style="12" customWidth="1"/>
    <col min="3098" max="3098" width="15" style="12" customWidth="1"/>
    <col min="3099" max="3099" width="16.109375" style="12" bestFit="1" customWidth="1"/>
    <col min="3100" max="3100" width="11.44140625" style="12"/>
    <col min="3101" max="3101" width="12.6640625" style="12" bestFit="1" customWidth="1"/>
    <col min="3102" max="3138" width="11.44140625" style="12"/>
    <col min="3139" max="3139" width="14" style="12" bestFit="1" customWidth="1"/>
    <col min="3140" max="3328" width="11.44140625" style="12"/>
    <col min="3329" max="3329" width="14.33203125" style="12" customWidth="1"/>
    <col min="3330" max="3330" width="25.109375" style="12" customWidth="1"/>
    <col min="3331" max="3331" width="22.44140625" style="12" bestFit="1" customWidth="1"/>
    <col min="3332" max="3332" width="21.33203125" style="12" bestFit="1" customWidth="1"/>
    <col min="3333" max="3333" width="24" style="12" bestFit="1" customWidth="1"/>
    <col min="3334" max="3334" width="17.88671875" style="12" bestFit="1" customWidth="1"/>
    <col min="3335" max="3335" width="2.5546875" style="12" customWidth="1"/>
    <col min="3336" max="3336" width="21.5546875" style="12" bestFit="1" customWidth="1"/>
    <col min="3337" max="3337" width="2.6640625" style="12" customWidth="1"/>
    <col min="3338" max="3338" width="33.109375" style="12" bestFit="1" customWidth="1"/>
    <col min="3339" max="3339" width="16.88671875" style="12" bestFit="1" customWidth="1"/>
    <col min="3340" max="3340" width="24.109375" style="12" bestFit="1" customWidth="1"/>
    <col min="3341" max="3341" width="20.88671875" style="12" bestFit="1" customWidth="1"/>
    <col min="3342" max="3342" width="21.109375" style="12" bestFit="1" customWidth="1"/>
    <col min="3343" max="3343" width="28" style="12" bestFit="1" customWidth="1"/>
    <col min="3344" max="3344" width="15" style="12" bestFit="1" customWidth="1"/>
    <col min="3345" max="3345" width="28" style="12" bestFit="1" customWidth="1"/>
    <col min="3346" max="3346" width="2.5546875" style="12" customWidth="1"/>
    <col min="3347" max="3347" width="21" style="12" bestFit="1" customWidth="1"/>
    <col min="3348" max="3348" width="2.5546875" style="12" customWidth="1"/>
    <col min="3349" max="3349" width="26.33203125" style="12" bestFit="1" customWidth="1"/>
    <col min="3350" max="3350" width="16" style="12" bestFit="1" customWidth="1"/>
    <col min="3351" max="3353" width="16" style="12" customWidth="1"/>
    <col min="3354" max="3354" width="15" style="12" customWidth="1"/>
    <col min="3355" max="3355" width="16.109375" style="12" bestFit="1" customWidth="1"/>
    <col min="3356" max="3356" width="11.44140625" style="12"/>
    <col min="3357" max="3357" width="12.6640625" style="12" bestFit="1" customWidth="1"/>
    <col min="3358" max="3394" width="11.44140625" style="12"/>
    <col min="3395" max="3395" width="14" style="12" bestFit="1" customWidth="1"/>
    <col min="3396" max="3584" width="11.44140625" style="12"/>
    <col min="3585" max="3585" width="14.33203125" style="12" customWidth="1"/>
    <col min="3586" max="3586" width="25.109375" style="12" customWidth="1"/>
    <col min="3587" max="3587" width="22.44140625" style="12" bestFit="1" customWidth="1"/>
    <col min="3588" max="3588" width="21.33203125" style="12" bestFit="1" customWidth="1"/>
    <col min="3589" max="3589" width="24" style="12" bestFit="1" customWidth="1"/>
    <col min="3590" max="3590" width="17.88671875" style="12" bestFit="1" customWidth="1"/>
    <col min="3591" max="3591" width="2.5546875" style="12" customWidth="1"/>
    <col min="3592" max="3592" width="21.5546875" style="12" bestFit="1" customWidth="1"/>
    <col min="3593" max="3593" width="2.6640625" style="12" customWidth="1"/>
    <col min="3594" max="3594" width="33.109375" style="12" bestFit="1" customWidth="1"/>
    <col min="3595" max="3595" width="16.88671875" style="12" bestFit="1" customWidth="1"/>
    <col min="3596" max="3596" width="24.109375" style="12" bestFit="1" customWidth="1"/>
    <col min="3597" max="3597" width="20.88671875" style="12" bestFit="1" customWidth="1"/>
    <col min="3598" max="3598" width="21.109375" style="12" bestFit="1" customWidth="1"/>
    <col min="3599" max="3599" width="28" style="12" bestFit="1" customWidth="1"/>
    <col min="3600" max="3600" width="15" style="12" bestFit="1" customWidth="1"/>
    <col min="3601" max="3601" width="28" style="12" bestFit="1" customWidth="1"/>
    <col min="3602" max="3602" width="2.5546875" style="12" customWidth="1"/>
    <col min="3603" max="3603" width="21" style="12" bestFit="1" customWidth="1"/>
    <col min="3604" max="3604" width="2.5546875" style="12" customWidth="1"/>
    <col min="3605" max="3605" width="26.33203125" style="12" bestFit="1" customWidth="1"/>
    <col min="3606" max="3606" width="16" style="12" bestFit="1" customWidth="1"/>
    <col min="3607" max="3609" width="16" style="12" customWidth="1"/>
    <col min="3610" max="3610" width="15" style="12" customWidth="1"/>
    <col min="3611" max="3611" width="16.109375" style="12" bestFit="1" customWidth="1"/>
    <col min="3612" max="3612" width="11.44140625" style="12"/>
    <col min="3613" max="3613" width="12.6640625" style="12" bestFit="1" customWidth="1"/>
    <col min="3614" max="3650" width="11.44140625" style="12"/>
    <col min="3651" max="3651" width="14" style="12" bestFit="1" customWidth="1"/>
    <col min="3652" max="3840" width="11.44140625" style="12"/>
    <col min="3841" max="3841" width="14.33203125" style="12" customWidth="1"/>
    <col min="3842" max="3842" width="25.109375" style="12" customWidth="1"/>
    <col min="3843" max="3843" width="22.44140625" style="12" bestFit="1" customWidth="1"/>
    <col min="3844" max="3844" width="21.33203125" style="12" bestFit="1" customWidth="1"/>
    <col min="3845" max="3845" width="24" style="12" bestFit="1" customWidth="1"/>
    <col min="3846" max="3846" width="17.88671875" style="12" bestFit="1" customWidth="1"/>
    <col min="3847" max="3847" width="2.5546875" style="12" customWidth="1"/>
    <col min="3848" max="3848" width="21.5546875" style="12" bestFit="1" customWidth="1"/>
    <col min="3849" max="3849" width="2.6640625" style="12" customWidth="1"/>
    <col min="3850" max="3850" width="33.109375" style="12" bestFit="1" customWidth="1"/>
    <col min="3851" max="3851" width="16.88671875" style="12" bestFit="1" customWidth="1"/>
    <col min="3852" max="3852" width="24.109375" style="12" bestFit="1" customWidth="1"/>
    <col min="3853" max="3853" width="20.88671875" style="12" bestFit="1" customWidth="1"/>
    <col min="3854" max="3854" width="21.109375" style="12" bestFit="1" customWidth="1"/>
    <col min="3855" max="3855" width="28" style="12" bestFit="1" customWidth="1"/>
    <col min="3856" max="3856" width="15" style="12" bestFit="1" customWidth="1"/>
    <col min="3857" max="3857" width="28" style="12" bestFit="1" customWidth="1"/>
    <col min="3858" max="3858" width="2.5546875" style="12" customWidth="1"/>
    <col min="3859" max="3859" width="21" style="12" bestFit="1" customWidth="1"/>
    <col min="3860" max="3860" width="2.5546875" style="12" customWidth="1"/>
    <col min="3861" max="3861" width="26.33203125" style="12" bestFit="1" customWidth="1"/>
    <col min="3862" max="3862" width="16" style="12" bestFit="1" customWidth="1"/>
    <col min="3863" max="3865" width="16" style="12" customWidth="1"/>
    <col min="3866" max="3866" width="15" style="12" customWidth="1"/>
    <col min="3867" max="3867" width="16.109375" style="12" bestFit="1" customWidth="1"/>
    <col min="3868" max="3868" width="11.44140625" style="12"/>
    <col min="3869" max="3869" width="12.6640625" style="12" bestFit="1" customWidth="1"/>
    <col min="3870" max="3906" width="11.44140625" style="12"/>
    <col min="3907" max="3907" width="14" style="12" bestFit="1" customWidth="1"/>
    <col min="3908" max="4096" width="11.44140625" style="12"/>
    <col min="4097" max="4097" width="14.33203125" style="12" customWidth="1"/>
    <col min="4098" max="4098" width="25.109375" style="12" customWidth="1"/>
    <col min="4099" max="4099" width="22.44140625" style="12" bestFit="1" customWidth="1"/>
    <col min="4100" max="4100" width="21.33203125" style="12" bestFit="1" customWidth="1"/>
    <col min="4101" max="4101" width="24" style="12" bestFit="1" customWidth="1"/>
    <col min="4102" max="4102" width="17.88671875" style="12" bestFit="1" customWidth="1"/>
    <col min="4103" max="4103" width="2.5546875" style="12" customWidth="1"/>
    <col min="4104" max="4104" width="21.5546875" style="12" bestFit="1" customWidth="1"/>
    <col min="4105" max="4105" width="2.6640625" style="12" customWidth="1"/>
    <col min="4106" max="4106" width="33.109375" style="12" bestFit="1" customWidth="1"/>
    <col min="4107" max="4107" width="16.88671875" style="12" bestFit="1" customWidth="1"/>
    <col min="4108" max="4108" width="24.109375" style="12" bestFit="1" customWidth="1"/>
    <col min="4109" max="4109" width="20.88671875" style="12" bestFit="1" customWidth="1"/>
    <col min="4110" max="4110" width="21.109375" style="12" bestFit="1" customWidth="1"/>
    <col min="4111" max="4111" width="28" style="12" bestFit="1" customWidth="1"/>
    <col min="4112" max="4112" width="15" style="12" bestFit="1" customWidth="1"/>
    <col min="4113" max="4113" width="28" style="12" bestFit="1" customWidth="1"/>
    <col min="4114" max="4114" width="2.5546875" style="12" customWidth="1"/>
    <col min="4115" max="4115" width="21" style="12" bestFit="1" customWidth="1"/>
    <col min="4116" max="4116" width="2.5546875" style="12" customWidth="1"/>
    <col min="4117" max="4117" width="26.33203125" style="12" bestFit="1" customWidth="1"/>
    <col min="4118" max="4118" width="16" style="12" bestFit="1" customWidth="1"/>
    <col min="4119" max="4121" width="16" style="12" customWidth="1"/>
    <col min="4122" max="4122" width="15" style="12" customWidth="1"/>
    <col min="4123" max="4123" width="16.109375" style="12" bestFit="1" customWidth="1"/>
    <col min="4124" max="4124" width="11.44140625" style="12"/>
    <col min="4125" max="4125" width="12.6640625" style="12" bestFit="1" customWidth="1"/>
    <col min="4126" max="4162" width="11.44140625" style="12"/>
    <col min="4163" max="4163" width="14" style="12" bestFit="1" customWidth="1"/>
    <col min="4164" max="4352" width="11.44140625" style="12"/>
    <col min="4353" max="4353" width="14.33203125" style="12" customWidth="1"/>
    <col min="4354" max="4354" width="25.109375" style="12" customWidth="1"/>
    <col min="4355" max="4355" width="22.44140625" style="12" bestFit="1" customWidth="1"/>
    <col min="4356" max="4356" width="21.33203125" style="12" bestFit="1" customWidth="1"/>
    <col min="4357" max="4357" width="24" style="12" bestFit="1" customWidth="1"/>
    <col min="4358" max="4358" width="17.88671875" style="12" bestFit="1" customWidth="1"/>
    <col min="4359" max="4359" width="2.5546875" style="12" customWidth="1"/>
    <col min="4360" max="4360" width="21.5546875" style="12" bestFit="1" customWidth="1"/>
    <col min="4361" max="4361" width="2.6640625" style="12" customWidth="1"/>
    <col min="4362" max="4362" width="33.109375" style="12" bestFit="1" customWidth="1"/>
    <col min="4363" max="4363" width="16.88671875" style="12" bestFit="1" customWidth="1"/>
    <col min="4364" max="4364" width="24.109375" style="12" bestFit="1" customWidth="1"/>
    <col min="4365" max="4365" width="20.88671875" style="12" bestFit="1" customWidth="1"/>
    <col min="4366" max="4366" width="21.109375" style="12" bestFit="1" customWidth="1"/>
    <col min="4367" max="4367" width="28" style="12" bestFit="1" customWidth="1"/>
    <col min="4368" max="4368" width="15" style="12" bestFit="1" customWidth="1"/>
    <col min="4369" max="4369" width="28" style="12" bestFit="1" customWidth="1"/>
    <col min="4370" max="4370" width="2.5546875" style="12" customWidth="1"/>
    <col min="4371" max="4371" width="21" style="12" bestFit="1" customWidth="1"/>
    <col min="4372" max="4372" width="2.5546875" style="12" customWidth="1"/>
    <col min="4373" max="4373" width="26.33203125" style="12" bestFit="1" customWidth="1"/>
    <col min="4374" max="4374" width="16" style="12" bestFit="1" customWidth="1"/>
    <col min="4375" max="4377" width="16" style="12" customWidth="1"/>
    <col min="4378" max="4378" width="15" style="12" customWidth="1"/>
    <col min="4379" max="4379" width="16.109375" style="12" bestFit="1" customWidth="1"/>
    <col min="4380" max="4380" width="11.44140625" style="12"/>
    <col min="4381" max="4381" width="12.6640625" style="12" bestFit="1" customWidth="1"/>
    <col min="4382" max="4418" width="11.44140625" style="12"/>
    <col min="4419" max="4419" width="14" style="12" bestFit="1" customWidth="1"/>
    <col min="4420" max="4608" width="11.44140625" style="12"/>
    <col min="4609" max="4609" width="14.33203125" style="12" customWidth="1"/>
    <col min="4610" max="4610" width="25.109375" style="12" customWidth="1"/>
    <col min="4611" max="4611" width="22.44140625" style="12" bestFit="1" customWidth="1"/>
    <col min="4612" max="4612" width="21.33203125" style="12" bestFit="1" customWidth="1"/>
    <col min="4613" max="4613" width="24" style="12" bestFit="1" customWidth="1"/>
    <col min="4614" max="4614" width="17.88671875" style="12" bestFit="1" customWidth="1"/>
    <col min="4615" max="4615" width="2.5546875" style="12" customWidth="1"/>
    <col min="4616" max="4616" width="21.5546875" style="12" bestFit="1" customWidth="1"/>
    <col min="4617" max="4617" width="2.6640625" style="12" customWidth="1"/>
    <col min="4618" max="4618" width="33.109375" style="12" bestFit="1" customWidth="1"/>
    <col min="4619" max="4619" width="16.88671875" style="12" bestFit="1" customWidth="1"/>
    <col min="4620" max="4620" width="24.109375" style="12" bestFit="1" customWidth="1"/>
    <col min="4621" max="4621" width="20.88671875" style="12" bestFit="1" customWidth="1"/>
    <col min="4622" max="4622" width="21.109375" style="12" bestFit="1" customWidth="1"/>
    <col min="4623" max="4623" width="28" style="12" bestFit="1" customWidth="1"/>
    <col min="4624" max="4624" width="15" style="12" bestFit="1" customWidth="1"/>
    <col min="4625" max="4625" width="28" style="12" bestFit="1" customWidth="1"/>
    <col min="4626" max="4626" width="2.5546875" style="12" customWidth="1"/>
    <col min="4627" max="4627" width="21" style="12" bestFit="1" customWidth="1"/>
    <col min="4628" max="4628" width="2.5546875" style="12" customWidth="1"/>
    <col min="4629" max="4629" width="26.33203125" style="12" bestFit="1" customWidth="1"/>
    <col min="4630" max="4630" width="16" style="12" bestFit="1" customWidth="1"/>
    <col min="4631" max="4633" width="16" style="12" customWidth="1"/>
    <col min="4634" max="4634" width="15" style="12" customWidth="1"/>
    <col min="4635" max="4635" width="16.109375" style="12" bestFit="1" customWidth="1"/>
    <col min="4636" max="4636" width="11.44140625" style="12"/>
    <col min="4637" max="4637" width="12.6640625" style="12" bestFit="1" customWidth="1"/>
    <col min="4638" max="4674" width="11.44140625" style="12"/>
    <col min="4675" max="4675" width="14" style="12" bestFit="1" customWidth="1"/>
    <col min="4676" max="4864" width="11.44140625" style="12"/>
    <col min="4865" max="4865" width="14.33203125" style="12" customWidth="1"/>
    <col min="4866" max="4866" width="25.109375" style="12" customWidth="1"/>
    <col min="4867" max="4867" width="22.44140625" style="12" bestFit="1" customWidth="1"/>
    <col min="4868" max="4868" width="21.33203125" style="12" bestFit="1" customWidth="1"/>
    <col min="4869" max="4869" width="24" style="12" bestFit="1" customWidth="1"/>
    <col min="4870" max="4870" width="17.88671875" style="12" bestFit="1" customWidth="1"/>
    <col min="4871" max="4871" width="2.5546875" style="12" customWidth="1"/>
    <col min="4872" max="4872" width="21.5546875" style="12" bestFit="1" customWidth="1"/>
    <col min="4873" max="4873" width="2.6640625" style="12" customWidth="1"/>
    <col min="4874" max="4874" width="33.109375" style="12" bestFit="1" customWidth="1"/>
    <col min="4875" max="4875" width="16.88671875" style="12" bestFit="1" customWidth="1"/>
    <col min="4876" max="4876" width="24.109375" style="12" bestFit="1" customWidth="1"/>
    <col min="4877" max="4877" width="20.88671875" style="12" bestFit="1" customWidth="1"/>
    <col min="4878" max="4878" width="21.109375" style="12" bestFit="1" customWidth="1"/>
    <col min="4879" max="4879" width="28" style="12" bestFit="1" customWidth="1"/>
    <col min="4880" max="4880" width="15" style="12" bestFit="1" customWidth="1"/>
    <col min="4881" max="4881" width="28" style="12" bestFit="1" customWidth="1"/>
    <col min="4882" max="4882" width="2.5546875" style="12" customWidth="1"/>
    <col min="4883" max="4883" width="21" style="12" bestFit="1" customWidth="1"/>
    <col min="4884" max="4884" width="2.5546875" style="12" customWidth="1"/>
    <col min="4885" max="4885" width="26.33203125" style="12" bestFit="1" customWidth="1"/>
    <col min="4886" max="4886" width="16" style="12" bestFit="1" customWidth="1"/>
    <col min="4887" max="4889" width="16" style="12" customWidth="1"/>
    <col min="4890" max="4890" width="15" style="12" customWidth="1"/>
    <col min="4891" max="4891" width="16.109375" style="12" bestFit="1" customWidth="1"/>
    <col min="4892" max="4892" width="11.44140625" style="12"/>
    <col min="4893" max="4893" width="12.6640625" style="12" bestFit="1" customWidth="1"/>
    <col min="4894" max="4930" width="11.44140625" style="12"/>
    <col min="4931" max="4931" width="14" style="12" bestFit="1" customWidth="1"/>
    <col min="4932" max="5120" width="11.44140625" style="12"/>
    <col min="5121" max="5121" width="14.33203125" style="12" customWidth="1"/>
    <col min="5122" max="5122" width="25.109375" style="12" customWidth="1"/>
    <col min="5123" max="5123" width="22.44140625" style="12" bestFit="1" customWidth="1"/>
    <col min="5124" max="5124" width="21.33203125" style="12" bestFit="1" customWidth="1"/>
    <col min="5125" max="5125" width="24" style="12" bestFit="1" customWidth="1"/>
    <col min="5126" max="5126" width="17.88671875" style="12" bestFit="1" customWidth="1"/>
    <col min="5127" max="5127" width="2.5546875" style="12" customWidth="1"/>
    <col min="5128" max="5128" width="21.5546875" style="12" bestFit="1" customWidth="1"/>
    <col min="5129" max="5129" width="2.6640625" style="12" customWidth="1"/>
    <col min="5130" max="5130" width="33.109375" style="12" bestFit="1" customWidth="1"/>
    <col min="5131" max="5131" width="16.88671875" style="12" bestFit="1" customWidth="1"/>
    <col min="5132" max="5132" width="24.109375" style="12" bestFit="1" customWidth="1"/>
    <col min="5133" max="5133" width="20.88671875" style="12" bestFit="1" customWidth="1"/>
    <col min="5134" max="5134" width="21.109375" style="12" bestFit="1" customWidth="1"/>
    <col min="5135" max="5135" width="28" style="12" bestFit="1" customWidth="1"/>
    <col min="5136" max="5136" width="15" style="12" bestFit="1" customWidth="1"/>
    <col min="5137" max="5137" width="28" style="12" bestFit="1" customWidth="1"/>
    <col min="5138" max="5138" width="2.5546875" style="12" customWidth="1"/>
    <col min="5139" max="5139" width="21" style="12" bestFit="1" customWidth="1"/>
    <col min="5140" max="5140" width="2.5546875" style="12" customWidth="1"/>
    <col min="5141" max="5141" width="26.33203125" style="12" bestFit="1" customWidth="1"/>
    <col min="5142" max="5142" width="16" style="12" bestFit="1" customWidth="1"/>
    <col min="5143" max="5145" width="16" style="12" customWidth="1"/>
    <col min="5146" max="5146" width="15" style="12" customWidth="1"/>
    <col min="5147" max="5147" width="16.109375" style="12" bestFit="1" customWidth="1"/>
    <col min="5148" max="5148" width="11.44140625" style="12"/>
    <col min="5149" max="5149" width="12.6640625" style="12" bestFit="1" customWidth="1"/>
    <col min="5150" max="5186" width="11.44140625" style="12"/>
    <col min="5187" max="5187" width="14" style="12" bestFit="1" customWidth="1"/>
    <col min="5188" max="5376" width="11.44140625" style="12"/>
    <col min="5377" max="5377" width="14.33203125" style="12" customWidth="1"/>
    <col min="5378" max="5378" width="25.109375" style="12" customWidth="1"/>
    <col min="5379" max="5379" width="22.44140625" style="12" bestFit="1" customWidth="1"/>
    <col min="5380" max="5380" width="21.33203125" style="12" bestFit="1" customWidth="1"/>
    <col min="5381" max="5381" width="24" style="12" bestFit="1" customWidth="1"/>
    <col min="5382" max="5382" width="17.88671875" style="12" bestFit="1" customWidth="1"/>
    <col min="5383" max="5383" width="2.5546875" style="12" customWidth="1"/>
    <col min="5384" max="5384" width="21.5546875" style="12" bestFit="1" customWidth="1"/>
    <col min="5385" max="5385" width="2.6640625" style="12" customWidth="1"/>
    <col min="5386" max="5386" width="33.109375" style="12" bestFit="1" customWidth="1"/>
    <col min="5387" max="5387" width="16.88671875" style="12" bestFit="1" customWidth="1"/>
    <col min="5388" max="5388" width="24.109375" style="12" bestFit="1" customWidth="1"/>
    <col min="5389" max="5389" width="20.88671875" style="12" bestFit="1" customWidth="1"/>
    <col min="5390" max="5390" width="21.109375" style="12" bestFit="1" customWidth="1"/>
    <col min="5391" max="5391" width="28" style="12" bestFit="1" customWidth="1"/>
    <col min="5392" max="5392" width="15" style="12" bestFit="1" customWidth="1"/>
    <col min="5393" max="5393" width="28" style="12" bestFit="1" customWidth="1"/>
    <col min="5394" max="5394" width="2.5546875" style="12" customWidth="1"/>
    <col min="5395" max="5395" width="21" style="12" bestFit="1" customWidth="1"/>
    <col min="5396" max="5396" width="2.5546875" style="12" customWidth="1"/>
    <col min="5397" max="5397" width="26.33203125" style="12" bestFit="1" customWidth="1"/>
    <col min="5398" max="5398" width="16" style="12" bestFit="1" customWidth="1"/>
    <col min="5399" max="5401" width="16" style="12" customWidth="1"/>
    <col min="5402" max="5402" width="15" style="12" customWidth="1"/>
    <col min="5403" max="5403" width="16.109375" style="12" bestFit="1" customWidth="1"/>
    <col min="5404" max="5404" width="11.44140625" style="12"/>
    <col min="5405" max="5405" width="12.6640625" style="12" bestFit="1" customWidth="1"/>
    <col min="5406" max="5442" width="11.44140625" style="12"/>
    <col min="5443" max="5443" width="14" style="12" bestFit="1" customWidth="1"/>
    <col min="5444" max="5632" width="11.44140625" style="12"/>
    <col min="5633" max="5633" width="14.33203125" style="12" customWidth="1"/>
    <col min="5634" max="5634" width="25.109375" style="12" customWidth="1"/>
    <col min="5635" max="5635" width="22.44140625" style="12" bestFit="1" customWidth="1"/>
    <col min="5636" max="5636" width="21.33203125" style="12" bestFit="1" customWidth="1"/>
    <col min="5637" max="5637" width="24" style="12" bestFit="1" customWidth="1"/>
    <col min="5638" max="5638" width="17.88671875" style="12" bestFit="1" customWidth="1"/>
    <col min="5639" max="5639" width="2.5546875" style="12" customWidth="1"/>
    <col min="5640" max="5640" width="21.5546875" style="12" bestFit="1" customWidth="1"/>
    <col min="5641" max="5641" width="2.6640625" style="12" customWidth="1"/>
    <col min="5642" max="5642" width="33.109375" style="12" bestFit="1" customWidth="1"/>
    <col min="5643" max="5643" width="16.88671875" style="12" bestFit="1" customWidth="1"/>
    <col min="5644" max="5644" width="24.109375" style="12" bestFit="1" customWidth="1"/>
    <col min="5645" max="5645" width="20.88671875" style="12" bestFit="1" customWidth="1"/>
    <col min="5646" max="5646" width="21.109375" style="12" bestFit="1" customWidth="1"/>
    <col min="5647" max="5647" width="28" style="12" bestFit="1" customWidth="1"/>
    <col min="5648" max="5648" width="15" style="12" bestFit="1" customWidth="1"/>
    <col min="5649" max="5649" width="28" style="12" bestFit="1" customWidth="1"/>
    <col min="5650" max="5650" width="2.5546875" style="12" customWidth="1"/>
    <col min="5651" max="5651" width="21" style="12" bestFit="1" customWidth="1"/>
    <col min="5652" max="5652" width="2.5546875" style="12" customWidth="1"/>
    <col min="5653" max="5653" width="26.33203125" style="12" bestFit="1" customWidth="1"/>
    <col min="5654" max="5654" width="16" style="12" bestFit="1" customWidth="1"/>
    <col min="5655" max="5657" width="16" style="12" customWidth="1"/>
    <col min="5658" max="5658" width="15" style="12" customWidth="1"/>
    <col min="5659" max="5659" width="16.109375" style="12" bestFit="1" customWidth="1"/>
    <col min="5660" max="5660" width="11.44140625" style="12"/>
    <col min="5661" max="5661" width="12.6640625" style="12" bestFit="1" customWidth="1"/>
    <col min="5662" max="5698" width="11.44140625" style="12"/>
    <col min="5699" max="5699" width="14" style="12" bestFit="1" customWidth="1"/>
    <col min="5700" max="5888" width="11.44140625" style="12"/>
    <col min="5889" max="5889" width="14.33203125" style="12" customWidth="1"/>
    <col min="5890" max="5890" width="25.109375" style="12" customWidth="1"/>
    <col min="5891" max="5891" width="22.44140625" style="12" bestFit="1" customWidth="1"/>
    <col min="5892" max="5892" width="21.33203125" style="12" bestFit="1" customWidth="1"/>
    <col min="5893" max="5893" width="24" style="12" bestFit="1" customWidth="1"/>
    <col min="5894" max="5894" width="17.88671875" style="12" bestFit="1" customWidth="1"/>
    <col min="5895" max="5895" width="2.5546875" style="12" customWidth="1"/>
    <col min="5896" max="5896" width="21.5546875" style="12" bestFit="1" customWidth="1"/>
    <col min="5897" max="5897" width="2.6640625" style="12" customWidth="1"/>
    <col min="5898" max="5898" width="33.109375" style="12" bestFit="1" customWidth="1"/>
    <col min="5899" max="5899" width="16.88671875" style="12" bestFit="1" customWidth="1"/>
    <col min="5900" max="5900" width="24.109375" style="12" bestFit="1" customWidth="1"/>
    <col min="5901" max="5901" width="20.88671875" style="12" bestFit="1" customWidth="1"/>
    <col min="5902" max="5902" width="21.109375" style="12" bestFit="1" customWidth="1"/>
    <col min="5903" max="5903" width="28" style="12" bestFit="1" customWidth="1"/>
    <col min="5904" max="5904" width="15" style="12" bestFit="1" customWidth="1"/>
    <col min="5905" max="5905" width="28" style="12" bestFit="1" customWidth="1"/>
    <col min="5906" max="5906" width="2.5546875" style="12" customWidth="1"/>
    <col min="5907" max="5907" width="21" style="12" bestFit="1" customWidth="1"/>
    <col min="5908" max="5908" width="2.5546875" style="12" customWidth="1"/>
    <col min="5909" max="5909" width="26.33203125" style="12" bestFit="1" customWidth="1"/>
    <col min="5910" max="5910" width="16" style="12" bestFit="1" customWidth="1"/>
    <col min="5911" max="5913" width="16" style="12" customWidth="1"/>
    <col min="5914" max="5914" width="15" style="12" customWidth="1"/>
    <col min="5915" max="5915" width="16.109375" style="12" bestFit="1" customWidth="1"/>
    <col min="5916" max="5916" width="11.44140625" style="12"/>
    <col min="5917" max="5917" width="12.6640625" style="12" bestFit="1" customWidth="1"/>
    <col min="5918" max="5954" width="11.44140625" style="12"/>
    <col min="5955" max="5955" width="14" style="12" bestFit="1" customWidth="1"/>
    <col min="5956" max="6144" width="11.44140625" style="12"/>
    <col min="6145" max="6145" width="14.33203125" style="12" customWidth="1"/>
    <col min="6146" max="6146" width="25.109375" style="12" customWidth="1"/>
    <col min="6147" max="6147" width="22.44140625" style="12" bestFit="1" customWidth="1"/>
    <col min="6148" max="6148" width="21.33203125" style="12" bestFit="1" customWidth="1"/>
    <col min="6149" max="6149" width="24" style="12" bestFit="1" customWidth="1"/>
    <col min="6150" max="6150" width="17.88671875" style="12" bestFit="1" customWidth="1"/>
    <col min="6151" max="6151" width="2.5546875" style="12" customWidth="1"/>
    <col min="6152" max="6152" width="21.5546875" style="12" bestFit="1" customWidth="1"/>
    <col min="6153" max="6153" width="2.6640625" style="12" customWidth="1"/>
    <col min="6154" max="6154" width="33.109375" style="12" bestFit="1" customWidth="1"/>
    <col min="6155" max="6155" width="16.88671875" style="12" bestFit="1" customWidth="1"/>
    <col min="6156" max="6156" width="24.109375" style="12" bestFit="1" customWidth="1"/>
    <col min="6157" max="6157" width="20.88671875" style="12" bestFit="1" customWidth="1"/>
    <col min="6158" max="6158" width="21.109375" style="12" bestFit="1" customWidth="1"/>
    <col min="6159" max="6159" width="28" style="12" bestFit="1" customWidth="1"/>
    <col min="6160" max="6160" width="15" style="12" bestFit="1" customWidth="1"/>
    <col min="6161" max="6161" width="28" style="12" bestFit="1" customWidth="1"/>
    <col min="6162" max="6162" width="2.5546875" style="12" customWidth="1"/>
    <col min="6163" max="6163" width="21" style="12" bestFit="1" customWidth="1"/>
    <col min="6164" max="6164" width="2.5546875" style="12" customWidth="1"/>
    <col min="6165" max="6165" width="26.33203125" style="12" bestFit="1" customWidth="1"/>
    <col min="6166" max="6166" width="16" style="12" bestFit="1" customWidth="1"/>
    <col min="6167" max="6169" width="16" style="12" customWidth="1"/>
    <col min="6170" max="6170" width="15" style="12" customWidth="1"/>
    <col min="6171" max="6171" width="16.109375" style="12" bestFit="1" customWidth="1"/>
    <col min="6172" max="6172" width="11.44140625" style="12"/>
    <col min="6173" max="6173" width="12.6640625" style="12" bestFit="1" customWidth="1"/>
    <col min="6174" max="6210" width="11.44140625" style="12"/>
    <col min="6211" max="6211" width="14" style="12" bestFit="1" customWidth="1"/>
    <col min="6212" max="6400" width="11.44140625" style="12"/>
    <col min="6401" max="6401" width="14.33203125" style="12" customWidth="1"/>
    <col min="6402" max="6402" width="25.109375" style="12" customWidth="1"/>
    <col min="6403" max="6403" width="22.44140625" style="12" bestFit="1" customWidth="1"/>
    <col min="6404" max="6404" width="21.33203125" style="12" bestFit="1" customWidth="1"/>
    <col min="6405" max="6405" width="24" style="12" bestFit="1" customWidth="1"/>
    <col min="6406" max="6406" width="17.88671875" style="12" bestFit="1" customWidth="1"/>
    <col min="6407" max="6407" width="2.5546875" style="12" customWidth="1"/>
    <col min="6408" max="6408" width="21.5546875" style="12" bestFit="1" customWidth="1"/>
    <col min="6409" max="6409" width="2.6640625" style="12" customWidth="1"/>
    <col min="6410" max="6410" width="33.109375" style="12" bestFit="1" customWidth="1"/>
    <col min="6411" max="6411" width="16.88671875" style="12" bestFit="1" customWidth="1"/>
    <col min="6412" max="6412" width="24.109375" style="12" bestFit="1" customWidth="1"/>
    <col min="6413" max="6413" width="20.88671875" style="12" bestFit="1" customWidth="1"/>
    <col min="6414" max="6414" width="21.109375" style="12" bestFit="1" customWidth="1"/>
    <col min="6415" max="6415" width="28" style="12" bestFit="1" customWidth="1"/>
    <col min="6416" max="6416" width="15" style="12" bestFit="1" customWidth="1"/>
    <col min="6417" max="6417" width="28" style="12" bestFit="1" customWidth="1"/>
    <col min="6418" max="6418" width="2.5546875" style="12" customWidth="1"/>
    <col min="6419" max="6419" width="21" style="12" bestFit="1" customWidth="1"/>
    <col min="6420" max="6420" width="2.5546875" style="12" customWidth="1"/>
    <col min="6421" max="6421" width="26.33203125" style="12" bestFit="1" customWidth="1"/>
    <col min="6422" max="6422" width="16" style="12" bestFit="1" customWidth="1"/>
    <col min="6423" max="6425" width="16" style="12" customWidth="1"/>
    <col min="6426" max="6426" width="15" style="12" customWidth="1"/>
    <col min="6427" max="6427" width="16.109375" style="12" bestFit="1" customWidth="1"/>
    <col min="6428" max="6428" width="11.44140625" style="12"/>
    <col min="6429" max="6429" width="12.6640625" style="12" bestFit="1" customWidth="1"/>
    <col min="6430" max="6466" width="11.44140625" style="12"/>
    <col min="6467" max="6467" width="14" style="12" bestFit="1" customWidth="1"/>
    <col min="6468" max="6656" width="11.44140625" style="12"/>
    <col min="6657" max="6657" width="14.33203125" style="12" customWidth="1"/>
    <col min="6658" max="6658" width="25.109375" style="12" customWidth="1"/>
    <col min="6659" max="6659" width="22.44140625" style="12" bestFit="1" customWidth="1"/>
    <col min="6660" max="6660" width="21.33203125" style="12" bestFit="1" customWidth="1"/>
    <col min="6661" max="6661" width="24" style="12" bestFit="1" customWidth="1"/>
    <col min="6662" max="6662" width="17.88671875" style="12" bestFit="1" customWidth="1"/>
    <col min="6663" max="6663" width="2.5546875" style="12" customWidth="1"/>
    <col min="6664" max="6664" width="21.5546875" style="12" bestFit="1" customWidth="1"/>
    <col min="6665" max="6665" width="2.6640625" style="12" customWidth="1"/>
    <col min="6666" max="6666" width="33.109375" style="12" bestFit="1" customWidth="1"/>
    <col min="6667" max="6667" width="16.88671875" style="12" bestFit="1" customWidth="1"/>
    <col min="6668" max="6668" width="24.109375" style="12" bestFit="1" customWidth="1"/>
    <col min="6669" max="6669" width="20.88671875" style="12" bestFit="1" customWidth="1"/>
    <col min="6670" max="6670" width="21.109375" style="12" bestFit="1" customWidth="1"/>
    <col min="6671" max="6671" width="28" style="12" bestFit="1" customWidth="1"/>
    <col min="6672" max="6672" width="15" style="12" bestFit="1" customWidth="1"/>
    <col min="6673" max="6673" width="28" style="12" bestFit="1" customWidth="1"/>
    <col min="6674" max="6674" width="2.5546875" style="12" customWidth="1"/>
    <col min="6675" max="6675" width="21" style="12" bestFit="1" customWidth="1"/>
    <col min="6676" max="6676" width="2.5546875" style="12" customWidth="1"/>
    <col min="6677" max="6677" width="26.33203125" style="12" bestFit="1" customWidth="1"/>
    <col min="6678" max="6678" width="16" style="12" bestFit="1" customWidth="1"/>
    <col min="6679" max="6681" width="16" style="12" customWidth="1"/>
    <col min="6682" max="6682" width="15" style="12" customWidth="1"/>
    <col min="6683" max="6683" width="16.109375" style="12" bestFit="1" customWidth="1"/>
    <col min="6684" max="6684" width="11.44140625" style="12"/>
    <col min="6685" max="6685" width="12.6640625" style="12" bestFit="1" customWidth="1"/>
    <col min="6686" max="6722" width="11.44140625" style="12"/>
    <col min="6723" max="6723" width="14" style="12" bestFit="1" customWidth="1"/>
    <col min="6724" max="6912" width="11.44140625" style="12"/>
    <col min="6913" max="6913" width="14.33203125" style="12" customWidth="1"/>
    <col min="6914" max="6914" width="25.109375" style="12" customWidth="1"/>
    <col min="6915" max="6915" width="22.44140625" style="12" bestFit="1" customWidth="1"/>
    <col min="6916" max="6916" width="21.33203125" style="12" bestFit="1" customWidth="1"/>
    <col min="6917" max="6917" width="24" style="12" bestFit="1" customWidth="1"/>
    <col min="6918" max="6918" width="17.88671875" style="12" bestFit="1" customWidth="1"/>
    <col min="6919" max="6919" width="2.5546875" style="12" customWidth="1"/>
    <col min="6920" max="6920" width="21.5546875" style="12" bestFit="1" customWidth="1"/>
    <col min="6921" max="6921" width="2.6640625" style="12" customWidth="1"/>
    <col min="6922" max="6922" width="33.109375" style="12" bestFit="1" customWidth="1"/>
    <col min="6923" max="6923" width="16.88671875" style="12" bestFit="1" customWidth="1"/>
    <col min="6924" max="6924" width="24.109375" style="12" bestFit="1" customWidth="1"/>
    <col min="6925" max="6925" width="20.88671875" style="12" bestFit="1" customWidth="1"/>
    <col min="6926" max="6926" width="21.109375" style="12" bestFit="1" customWidth="1"/>
    <col min="6927" max="6927" width="28" style="12" bestFit="1" customWidth="1"/>
    <col min="6928" max="6928" width="15" style="12" bestFit="1" customWidth="1"/>
    <col min="6929" max="6929" width="28" style="12" bestFit="1" customWidth="1"/>
    <col min="6930" max="6930" width="2.5546875" style="12" customWidth="1"/>
    <col min="6931" max="6931" width="21" style="12" bestFit="1" customWidth="1"/>
    <col min="6932" max="6932" width="2.5546875" style="12" customWidth="1"/>
    <col min="6933" max="6933" width="26.33203125" style="12" bestFit="1" customWidth="1"/>
    <col min="6934" max="6934" width="16" style="12" bestFit="1" customWidth="1"/>
    <col min="6935" max="6937" width="16" style="12" customWidth="1"/>
    <col min="6938" max="6938" width="15" style="12" customWidth="1"/>
    <col min="6939" max="6939" width="16.109375" style="12" bestFit="1" customWidth="1"/>
    <col min="6940" max="6940" width="11.44140625" style="12"/>
    <col min="6941" max="6941" width="12.6640625" style="12" bestFit="1" customWidth="1"/>
    <col min="6942" max="6978" width="11.44140625" style="12"/>
    <col min="6979" max="6979" width="14" style="12" bestFit="1" customWidth="1"/>
    <col min="6980" max="7168" width="11.44140625" style="12"/>
    <col min="7169" max="7169" width="14.33203125" style="12" customWidth="1"/>
    <col min="7170" max="7170" width="25.109375" style="12" customWidth="1"/>
    <col min="7171" max="7171" width="22.44140625" style="12" bestFit="1" customWidth="1"/>
    <col min="7172" max="7172" width="21.33203125" style="12" bestFit="1" customWidth="1"/>
    <col min="7173" max="7173" width="24" style="12" bestFit="1" customWidth="1"/>
    <col min="7174" max="7174" width="17.88671875" style="12" bestFit="1" customWidth="1"/>
    <col min="7175" max="7175" width="2.5546875" style="12" customWidth="1"/>
    <col min="7176" max="7176" width="21.5546875" style="12" bestFit="1" customWidth="1"/>
    <col min="7177" max="7177" width="2.6640625" style="12" customWidth="1"/>
    <col min="7178" max="7178" width="33.109375" style="12" bestFit="1" customWidth="1"/>
    <col min="7179" max="7179" width="16.88671875" style="12" bestFit="1" customWidth="1"/>
    <col min="7180" max="7180" width="24.109375" style="12" bestFit="1" customWidth="1"/>
    <col min="7181" max="7181" width="20.88671875" style="12" bestFit="1" customWidth="1"/>
    <col min="7182" max="7182" width="21.109375" style="12" bestFit="1" customWidth="1"/>
    <col min="7183" max="7183" width="28" style="12" bestFit="1" customWidth="1"/>
    <col min="7184" max="7184" width="15" style="12" bestFit="1" customWidth="1"/>
    <col min="7185" max="7185" width="28" style="12" bestFit="1" customWidth="1"/>
    <col min="7186" max="7186" width="2.5546875" style="12" customWidth="1"/>
    <col min="7187" max="7187" width="21" style="12" bestFit="1" customWidth="1"/>
    <col min="7188" max="7188" width="2.5546875" style="12" customWidth="1"/>
    <col min="7189" max="7189" width="26.33203125" style="12" bestFit="1" customWidth="1"/>
    <col min="7190" max="7190" width="16" style="12" bestFit="1" customWidth="1"/>
    <col min="7191" max="7193" width="16" style="12" customWidth="1"/>
    <col min="7194" max="7194" width="15" style="12" customWidth="1"/>
    <col min="7195" max="7195" width="16.109375" style="12" bestFit="1" customWidth="1"/>
    <col min="7196" max="7196" width="11.44140625" style="12"/>
    <col min="7197" max="7197" width="12.6640625" style="12" bestFit="1" customWidth="1"/>
    <col min="7198" max="7234" width="11.44140625" style="12"/>
    <col min="7235" max="7235" width="14" style="12" bestFit="1" customWidth="1"/>
    <col min="7236" max="7424" width="11.44140625" style="12"/>
    <col min="7425" max="7425" width="14.33203125" style="12" customWidth="1"/>
    <col min="7426" max="7426" width="25.109375" style="12" customWidth="1"/>
    <col min="7427" max="7427" width="22.44140625" style="12" bestFit="1" customWidth="1"/>
    <col min="7428" max="7428" width="21.33203125" style="12" bestFit="1" customWidth="1"/>
    <col min="7429" max="7429" width="24" style="12" bestFit="1" customWidth="1"/>
    <col min="7430" max="7430" width="17.88671875" style="12" bestFit="1" customWidth="1"/>
    <col min="7431" max="7431" width="2.5546875" style="12" customWidth="1"/>
    <col min="7432" max="7432" width="21.5546875" style="12" bestFit="1" customWidth="1"/>
    <col min="7433" max="7433" width="2.6640625" style="12" customWidth="1"/>
    <col min="7434" max="7434" width="33.109375" style="12" bestFit="1" customWidth="1"/>
    <col min="7435" max="7435" width="16.88671875" style="12" bestFit="1" customWidth="1"/>
    <col min="7436" max="7436" width="24.109375" style="12" bestFit="1" customWidth="1"/>
    <col min="7437" max="7437" width="20.88671875" style="12" bestFit="1" customWidth="1"/>
    <col min="7438" max="7438" width="21.109375" style="12" bestFit="1" customWidth="1"/>
    <col min="7439" max="7439" width="28" style="12" bestFit="1" customWidth="1"/>
    <col min="7440" max="7440" width="15" style="12" bestFit="1" customWidth="1"/>
    <col min="7441" max="7441" width="28" style="12" bestFit="1" customWidth="1"/>
    <col min="7442" max="7442" width="2.5546875" style="12" customWidth="1"/>
    <col min="7443" max="7443" width="21" style="12" bestFit="1" customWidth="1"/>
    <col min="7444" max="7444" width="2.5546875" style="12" customWidth="1"/>
    <col min="7445" max="7445" width="26.33203125" style="12" bestFit="1" customWidth="1"/>
    <col min="7446" max="7446" width="16" style="12" bestFit="1" customWidth="1"/>
    <col min="7447" max="7449" width="16" style="12" customWidth="1"/>
    <col min="7450" max="7450" width="15" style="12" customWidth="1"/>
    <col min="7451" max="7451" width="16.109375" style="12" bestFit="1" customWidth="1"/>
    <col min="7452" max="7452" width="11.44140625" style="12"/>
    <col min="7453" max="7453" width="12.6640625" style="12" bestFit="1" customWidth="1"/>
    <col min="7454" max="7490" width="11.44140625" style="12"/>
    <col min="7491" max="7491" width="14" style="12" bestFit="1" customWidth="1"/>
    <col min="7492" max="7680" width="11.44140625" style="12"/>
    <col min="7681" max="7681" width="14.33203125" style="12" customWidth="1"/>
    <col min="7682" max="7682" width="25.109375" style="12" customWidth="1"/>
    <col min="7683" max="7683" width="22.44140625" style="12" bestFit="1" customWidth="1"/>
    <col min="7684" max="7684" width="21.33203125" style="12" bestFit="1" customWidth="1"/>
    <col min="7685" max="7685" width="24" style="12" bestFit="1" customWidth="1"/>
    <col min="7686" max="7686" width="17.88671875" style="12" bestFit="1" customWidth="1"/>
    <col min="7687" max="7687" width="2.5546875" style="12" customWidth="1"/>
    <col min="7688" max="7688" width="21.5546875" style="12" bestFit="1" customWidth="1"/>
    <col min="7689" max="7689" width="2.6640625" style="12" customWidth="1"/>
    <col min="7690" max="7690" width="33.109375" style="12" bestFit="1" customWidth="1"/>
    <col min="7691" max="7691" width="16.88671875" style="12" bestFit="1" customWidth="1"/>
    <col min="7692" max="7692" width="24.109375" style="12" bestFit="1" customWidth="1"/>
    <col min="7693" max="7693" width="20.88671875" style="12" bestFit="1" customWidth="1"/>
    <col min="7694" max="7694" width="21.109375" style="12" bestFit="1" customWidth="1"/>
    <col min="7695" max="7695" width="28" style="12" bestFit="1" customWidth="1"/>
    <col min="7696" max="7696" width="15" style="12" bestFit="1" customWidth="1"/>
    <col min="7697" max="7697" width="28" style="12" bestFit="1" customWidth="1"/>
    <col min="7698" max="7698" width="2.5546875" style="12" customWidth="1"/>
    <col min="7699" max="7699" width="21" style="12" bestFit="1" customWidth="1"/>
    <col min="7700" max="7700" width="2.5546875" style="12" customWidth="1"/>
    <col min="7701" max="7701" width="26.33203125" style="12" bestFit="1" customWidth="1"/>
    <col min="7702" max="7702" width="16" style="12" bestFit="1" customWidth="1"/>
    <col min="7703" max="7705" width="16" style="12" customWidth="1"/>
    <col min="7706" max="7706" width="15" style="12" customWidth="1"/>
    <col min="7707" max="7707" width="16.109375" style="12" bestFit="1" customWidth="1"/>
    <col min="7708" max="7708" width="11.44140625" style="12"/>
    <col min="7709" max="7709" width="12.6640625" style="12" bestFit="1" customWidth="1"/>
    <col min="7710" max="7746" width="11.44140625" style="12"/>
    <col min="7747" max="7747" width="14" style="12" bestFit="1" customWidth="1"/>
    <col min="7748" max="7936" width="11.44140625" style="12"/>
    <col min="7937" max="7937" width="14.33203125" style="12" customWidth="1"/>
    <col min="7938" max="7938" width="25.109375" style="12" customWidth="1"/>
    <col min="7939" max="7939" width="22.44140625" style="12" bestFit="1" customWidth="1"/>
    <col min="7940" max="7940" width="21.33203125" style="12" bestFit="1" customWidth="1"/>
    <col min="7941" max="7941" width="24" style="12" bestFit="1" customWidth="1"/>
    <col min="7942" max="7942" width="17.88671875" style="12" bestFit="1" customWidth="1"/>
    <col min="7943" max="7943" width="2.5546875" style="12" customWidth="1"/>
    <col min="7944" max="7944" width="21.5546875" style="12" bestFit="1" customWidth="1"/>
    <col min="7945" max="7945" width="2.6640625" style="12" customWidth="1"/>
    <col min="7946" max="7946" width="33.109375" style="12" bestFit="1" customWidth="1"/>
    <col min="7947" max="7947" width="16.88671875" style="12" bestFit="1" customWidth="1"/>
    <col min="7948" max="7948" width="24.109375" style="12" bestFit="1" customWidth="1"/>
    <col min="7949" max="7949" width="20.88671875" style="12" bestFit="1" customWidth="1"/>
    <col min="7950" max="7950" width="21.109375" style="12" bestFit="1" customWidth="1"/>
    <col min="7951" max="7951" width="28" style="12" bestFit="1" customWidth="1"/>
    <col min="7952" max="7952" width="15" style="12" bestFit="1" customWidth="1"/>
    <col min="7953" max="7953" width="28" style="12" bestFit="1" customWidth="1"/>
    <col min="7954" max="7954" width="2.5546875" style="12" customWidth="1"/>
    <col min="7955" max="7955" width="21" style="12" bestFit="1" customWidth="1"/>
    <col min="7956" max="7956" width="2.5546875" style="12" customWidth="1"/>
    <col min="7957" max="7957" width="26.33203125" style="12" bestFit="1" customWidth="1"/>
    <col min="7958" max="7958" width="16" style="12" bestFit="1" customWidth="1"/>
    <col min="7959" max="7961" width="16" style="12" customWidth="1"/>
    <col min="7962" max="7962" width="15" style="12" customWidth="1"/>
    <col min="7963" max="7963" width="16.109375" style="12" bestFit="1" customWidth="1"/>
    <col min="7964" max="7964" width="11.44140625" style="12"/>
    <col min="7965" max="7965" width="12.6640625" style="12" bestFit="1" customWidth="1"/>
    <col min="7966" max="8002" width="11.44140625" style="12"/>
    <col min="8003" max="8003" width="14" style="12" bestFit="1" customWidth="1"/>
    <col min="8004" max="8192" width="11.44140625" style="12"/>
    <col min="8193" max="8193" width="14.33203125" style="12" customWidth="1"/>
    <col min="8194" max="8194" width="25.109375" style="12" customWidth="1"/>
    <col min="8195" max="8195" width="22.44140625" style="12" bestFit="1" customWidth="1"/>
    <col min="8196" max="8196" width="21.33203125" style="12" bestFit="1" customWidth="1"/>
    <col min="8197" max="8197" width="24" style="12" bestFit="1" customWidth="1"/>
    <col min="8198" max="8198" width="17.88671875" style="12" bestFit="1" customWidth="1"/>
    <col min="8199" max="8199" width="2.5546875" style="12" customWidth="1"/>
    <col min="8200" max="8200" width="21.5546875" style="12" bestFit="1" customWidth="1"/>
    <col min="8201" max="8201" width="2.6640625" style="12" customWidth="1"/>
    <col min="8202" max="8202" width="33.109375" style="12" bestFit="1" customWidth="1"/>
    <col min="8203" max="8203" width="16.88671875" style="12" bestFit="1" customWidth="1"/>
    <col min="8204" max="8204" width="24.109375" style="12" bestFit="1" customWidth="1"/>
    <col min="8205" max="8205" width="20.88671875" style="12" bestFit="1" customWidth="1"/>
    <col min="8206" max="8206" width="21.109375" style="12" bestFit="1" customWidth="1"/>
    <col min="8207" max="8207" width="28" style="12" bestFit="1" customWidth="1"/>
    <col min="8208" max="8208" width="15" style="12" bestFit="1" customWidth="1"/>
    <col min="8209" max="8209" width="28" style="12" bestFit="1" customWidth="1"/>
    <col min="8210" max="8210" width="2.5546875" style="12" customWidth="1"/>
    <col min="8211" max="8211" width="21" style="12" bestFit="1" customWidth="1"/>
    <col min="8212" max="8212" width="2.5546875" style="12" customWidth="1"/>
    <col min="8213" max="8213" width="26.33203125" style="12" bestFit="1" customWidth="1"/>
    <col min="8214" max="8214" width="16" style="12" bestFit="1" customWidth="1"/>
    <col min="8215" max="8217" width="16" style="12" customWidth="1"/>
    <col min="8218" max="8218" width="15" style="12" customWidth="1"/>
    <col min="8219" max="8219" width="16.109375" style="12" bestFit="1" customWidth="1"/>
    <col min="8220" max="8220" width="11.44140625" style="12"/>
    <col min="8221" max="8221" width="12.6640625" style="12" bestFit="1" customWidth="1"/>
    <col min="8222" max="8258" width="11.44140625" style="12"/>
    <col min="8259" max="8259" width="14" style="12" bestFit="1" customWidth="1"/>
    <col min="8260" max="8448" width="11.44140625" style="12"/>
    <col min="8449" max="8449" width="14.33203125" style="12" customWidth="1"/>
    <col min="8450" max="8450" width="25.109375" style="12" customWidth="1"/>
    <col min="8451" max="8451" width="22.44140625" style="12" bestFit="1" customWidth="1"/>
    <col min="8452" max="8452" width="21.33203125" style="12" bestFit="1" customWidth="1"/>
    <col min="8453" max="8453" width="24" style="12" bestFit="1" customWidth="1"/>
    <col min="8454" max="8454" width="17.88671875" style="12" bestFit="1" customWidth="1"/>
    <col min="8455" max="8455" width="2.5546875" style="12" customWidth="1"/>
    <col min="8456" max="8456" width="21.5546875" style="12" bestFit="1" customWidth="1"/>
    <col min="8457" max="8457" width="2.6640625" style="12" customWidth="1"/>
    <col min="8458" max="8458" width="33.109375" style="12" bestFit="1" customWidth="1"/>
    <col min="8459" max="8459" width="16.88671875" style="12" bestFit="1" customWidth="1"/>
    <col min="8460" max="8460" width="24.109375" style="12" bestFit="1" customWidth="1"/>
    <col min="8461" max="8461" width="20.88671875" style="12" bestFit="1" customWidth="1"/>
    <col min="8462" max="8462" width="21.109375" style="12" bestFit="1" customWidth="1"/>
    <col min="8463" max="8463" width="28" style="12" bestFit="1" customWidth="1"/>
    <col min="8464" max="8464" width="15" style="12" bestFit="1" customWidth="1"/>
    <col min="8465" max="8465" width="28" style="12" bestFit="1" customWidth="1"/>
    <col min="8466" max="8466" width="2.5546875" style="12" customWidth="1"/>
    <col min="8467" max="8467" width="21" style="12" bestFit="1" customWidth="1"/>
    <col min="8468" max="8468" width="2.5546875" style="12" customWidth="1"/>
    <col min="8469" max="8469" width="26.33203125" style="12" bestFit="1" customWidth="1"/>
    <col min="8470" max="8470" width="16" style="12" bestFit="1" customWidth="1"/>
    <col min="8471" max="8473" width="16" style="12" customWidth="1"/>
    <col min="8474" max="8474" width="15" style="12" customWidth="1"/>
    <col min="8475" max="8475" width="16.109375" style="12" bestFit="1" customWidth="1"/>
    <col min="8476" max="8476" width="11.44140625" style="12"/>
    <col min="8477" max="8477" width="12.6640625" style="12" bestFit="1" customWidth="1"/>
    <col min="8478" max="8514" width="11.44140625" style="12"/>
    <col min="8515" max="8515" width="14" style="12" bestFit="1" customWidth="1"/>
    <col min="8516" max="8704" width="11.44140625" style="12"/>
    <col min="8705" max="8705" width="14.33203125" style="12" customWidth="1"/>
    <col min="8706" max="8706" width="25.109375" style="12" customWidth="1"/>
    <col min="8707" max="8707" width="22.44140625" style="12" bestFit="1" customWidth="1"/>
    <col min="8708" max="8708" width="21.33203125" style="12" bestFit="1" customWidth="1"/>
    <col min="8709" max="8709" width="24" style="12" bestFit="1" customWidth="1"/>
    <col min="8710" max="8710" width="17.88671875" style="12" bestFit="1" customWidth="1"/>
    <col min="8711" max="8711" width="2.5546875" style="12" customWidth="1"/>
    <col min="8712" max="8712" width="21.5546875" style="12" bestFit="1" customWidth="1"/>
    <col min="8713" max="8713" width="2.6640625" style="12" customWidth="1"/>
    <col min="8714" max="8714" width="33.109375" style="12" bestFit="1" customWidth="1"/>
    <col min="8715" max="8715" width="16.88671875" style="12" bestFit="1" customWidth="1"/>
    <col min="8716" max="8716" width="24.109375" style="12" bestFit="1" customWidth="1"/>
    <col min="8717" max="8717" width="20.88671875" style="12" bestFit="1" customWidth="1"/>
    <col min="8718" max="8718" width="21.109375" style="12" bestFit="1" customWidth="1"/>
    <col min="8719" max="8719" width="28" style="12" bestFit="1" customWidth="1"/>
    <col min="8720" max="8720" width="15" style="12" bestFit="1" customWidth="1"/>
    <col min="8721" max="8721" width="28" style="12" bestFit="1" customWidth="1"/>
    <col min="8722" max="8722" width="2.5546875" style="12" customWidth="1"/>
    <col min="8723" max="8723" width="21" style="12" bestFit="1" customWidth="1"/>
    <col min="8724" max="8724" width="2.5546875" style="12" customWidth="1"/>
    <col min="8725" max="8725" width="26.33203125" style="12" bestFit="1" customWidth="1"/>
    <col min="8726" max="8726" width="16" style="12" bestFit="1" customWidth="1"/>
    <col min="8727" max="8729" width="16" style="12" customWidth="1"/>
    <col min="8730" max="8730" width="15" style="12" customWidth="1"/>
    <col min="8731" max="8731" width="16.109375" style="12" bestFit="1" customWidth="1"/>
    <col min="8732" max="8732" width="11.44140625" style="12"/>
    <col min="8733" max="8733" width="12.6640625" style="12" bestFit="1" customWidth="1"/>
    <col min="8734" max="8770" width="11.44140625" style="12"/>
    <col min="8771" max="8771" width="14" style="12" bestFit="1" customWidth="1"/>
    <col min="8772" max="8960" width="11.44140625" style="12"/>
    <col min="8961" max="8961" width="14.33203125" style="12" customWidth="1"/>
    <col min="8962" max="8962" width="25.109375" style="12" customWidth="1"/>
    <col min="8963" max="8963" width="22.44140625" style="12" bestFit="1" customWidth="1"/>
    <col min="8964" max="8964" width="21.33203125" style="12" bestFit="1" customWidth="1"/>
    <col min="8965" max="8965" width="24" style="12" bestFit="1" customWidth="1"/>
    <col min="8966" max="8966" width="17.88671875" style="12" bestFit="1" customWidth="1"/>
    <col min="8967" max="8967" width="2.5546875" style="12" customWidth="1"/>
    <col min="8968" max="8968" width="21.5546875" style="12" bestFit="1" customWidth="1"/>
    <col min="8969" max="8969" width="2.6640625" style="12" customWidth="1"/>
    <col min="8970" max="8970" width="33.109375" style="12" bestFit="1" customWidth="1"/>
    <col min="8971" max="8971" width="16.88671875" style="12" bestFit="1" customWidth="1"/>
    <col min="8972" max="8972" width="24.109375" style="12" bestFit="1" customWidth="1"/>
    <col min="8973" max="8973" width="20.88671875" style="12" bestFit="1" customWidth="1"/>
    <col min="8974" max="8974" width="21.109375" style="12" bestFit="1" customWidth="1"/>
    <col min="8975" max="8975" width="28" style="12" bestFit="1" customWidth="1"/>
    <col min="8976" max="8976" width="15" style="12" bestFit="1" customWidth="1"/>
    <col min="8977" max="8977" width="28" style="12" bestFit="1" customWidth="1"/>
    <col min="8978" max="8978" width="2.5546875" style="12" customWidth="1"/>
    <col min="8979" max="8979" width="21" style="12" bestFit="1" customWidth="1"/>
    <col min="8980" max="8980" width="2.5546875" style="12" customWidth="1"/>
    <col min="8981" max="8981" width="26.33203125" style="12" bestFit="1" customWidth="1"/>
    <col min="8982" max="8982" width="16" style="12" bestFit="1" customWidth="1"/>
    <col min="8983" max="8985" width="16" style="12" customWidth="1"/>
    <col min="8986" max="8986" width="15" style="12" customWidth="1"/>
    <col min="8987" max="8987" width="16.109375" style="12" bestFit="1" customWidth="1"/>
    <col min="8988" max="8988" width="11.44140625" style="12"/>
    <col min="8989" max="8989" width="12.6640625" style="12" bestFit="1" customWidth="1"/>
    <col min="8990" max="9026" width="11.44140625" style="12"/>
    <col min="9027" max="9027" width="14" style="12" bestFit="1" customWidth="1"/>
    <col min="9028" max="9216" width="11.44140625" style="12"/>
    <col min="9217" max="9217" width="14.33203125" style="12" customWidth="1"/>
    <col min="9218" max="9218" width="25.109375" style="12" customWidth="1"/>
    <col min="9219" max="9219" width="22.44140625" style="12" bestFit="1" customWidth="1"/>
    <col min="9220" max="9220" width="21.33203125" style="12" bestFit="1" customWidth="1"/>
    <col min="9221" max="9221" width="24" style="12" bestFit="1" customWidth="1"/>
    <col min="9222" max="9222" width="17.88671875" style="12" bestFit="1" customWidth="1"/>
    <col min="9223" max="9223" width="2.5546875" style="12" customWidth="1"/>
    <col min="9224" max="9224" width="21.5546875" style="12" bestFit="1" customWidth="1"/>
    <col min="9225" max="9225" width="2.6640625" style="12" customWidth="1"/>
    <col min="9226" max="9226" width="33.109375" style="12" bestFit="1" customWidth="1"/>
    <col min="9227" max="9227" width="16.88671875" style="12" bestFit="1" customWidth="1"/>
    <col min="9228" max="9228" width="24.109375" style="12" bestFit="1" customWidth="1"/>
    <col min="9229" max="9229" width="20.88671875" style="12" bestFit="1" customWidth="1"/>
    <col min="9230" max="9230" width="21.109375" style="12" bestFit="1" customWidth="1"/>
    <col min="9231" max="9231" width="28" style="12" bestFit="1" customWidth="1"/>
    <col min="9232" max="9232" width="15" style="12" bestFit="1" customWidth="1"/>
    <col min="9233" max="9233" width="28" style="12" bestFit="1" customWidth="1"/>
    <col min="9234" max="9234" width="2.5546875" style="12" customWidth="1"/>
    <col min="9235" max="9235" width="21" style="12" bestFit="1" customWidth="1"/>
    <col min="9236" max="9236" width="2.5546875" style="12" customWidth="1"/>
    <col min="9237" max="9237" width="26.33203125" style="12" bestFit="1" customWidth="1"/>
    <col min="9238" max="9238" width="16" style="12" bestFit="1" customWidth="1"/>
    <col min="9239" max="9241" width="16" style="12" customWidth="1"/>
    <col min="9242" max="9242" width="15" style="12" customWidth="1"/>
    <col min="9243" max="9243" width="16.109375" style="12" bestFit="1" customWidth="1"/>
    <col min="9244" max="9244" width="11.44140625" style="12"/>
    <col min="9245" max="9245" width="12.6640625" style="12" bestFit="1" customWidth="1"/>
    <col min="9246" max="9282" width="11.44140625" style="12"/>
    <col min="9283" max="9283" width="14" style="12" bestFit="1" customWidth="1"/>
    <col min="9284" max="9472" width="11.44140625" style="12"/>
    <col min="9473" max="9473" width="14.33203125" style="12" customWidth="1"/>
    <col min="9474" max="9474" width="25.109375" style="12" customWidth="1"/>
    <col min="9475" max="9475" width="22.44140625" style="12" bestFit="1" customWidth="1"/>
    <col min="9476" max="9476" width="21.33203125" style="12" bestFit="1" customWidth="1"/>
    <col min="9477" max="9477" width="24" style="12" bestFit="1" customWidth="1"/>
    <col min="9478" max="9478" width="17.88671875" style="12" bestFit="1" customWidth="1"/>
    <col min="9479" max="9479" width="2.5546875" style="12" customWidth="1"/>
    <col min="9480" max="9480" width="21.5546875" style="12" bestFit="1" customWidth="1"/>
    <col min="9481" max="9481" width="2.6640625" style="12" customWidth="1"/>
    <col min="9482" max="9482" width="33.109375" style="12" bestFit="1" customWidth="1"/>
    <col min="9483" max="9483" width="16.88671875" style="12" bestFit="1" customWidth="1"/>
    <col min="9484" max="9484" width="24.109375" style="12" bestFit="1" customWidth="1"/>
    <col min="9485" max="9485" width="20.88671875" style="12" bestFit="1" customWidth="1"/>
    <col min="9486" max="9486" width="21.109375" style="12" bestFit="1" customWidth="1"/>
    <col min="9487" max="9487" width="28" style="12" bestFit="1" customWidth="1"/>
    <col min="9488" max="9488" width="15" style="12" bestFit="1" customWidth="1"/>
    <col min="9489" max="9489" width="28" style="12" bestFit="1" customWidth="1"/>
    <col min="9490" max="9490" width="2.5546875" style="12" customWidth="1"/>
    <col min="9491" max="9491" width="21" style="12" bestFit="1" customWidth="1"/>
    <col min="9492" max="9492" width="2.5546875" style="12" customWidth="1"/>
    <col min="9493" max="9493" width="26.33203125" style="12" bestFit="1" customWidth="1"/>
    <col min="9494" max="9494" width="16" style="12" bestFit="1" customWidth="1"/>
    <col min="9495" max="9497" width="16" style="12" customWidth="1"/>
    <col min="9498" max="9498" width="15" style="12" customWidth="1"/>
    <col min="9499" max="9499" width="16.109375" style="12" bestFit="1" customWidth="1"/>
    <col min="9500" max="9500" width="11.44140625" style="12"/>
    <col min="9501" max="9501" width="12.6640625" style="12" bestFit="1" customWidth="1"/>
    <col min="9502" max="9538" width="11.44140625" style="12"/>
    <col min="9539" max="9539" width="14" style="12" bestFit="1" customWidth="1"/>
    <col min="9540" max="9728" width="11.44140625" style="12"/>
    <col min="9729" max="9729" width="14.33203125" style="12" customWidth="1"/>
    <col min="9730" max="9730" width="25.109375" style="12" customWidth="1"/>
    <col min="9731" max="9731" width="22.44140625" style="12" bestFit="1" customWidth="1"/>
    <col min="9732" max="9732" width="21.33203125" style="12" bestFit="1" customWidth="1"/>
    <col min="9733" max="9733" width="24" style="12" bestFit="1" customWidth="1"/>
    <col min="9734" max="9734" width="17.88671875" style="12" bestFit="1" customWidth="1"/>
    <col min="9735" max="9735" width="2.5546875" style="12" customWidth="1"/>
    <col min="9736" max="9736" width="21.5546875" style="12" bestFit="1" customWidth="1"/>
    <col min="9737" max="9737" width="2.6640625" style="12" customWidth="1"/>
    <col min="9738" max="9738" width="33.109375" style="12" bestFit="1" customWidth="1"/>
    <col min="9739" max="9739" width="16.88671875" style="12" bestFit="1" customWidth="1"/>
    <col min="9740" max="9740" width="24.109375" style="12" bestFit="1" customWidth="1"/>
    <col min="9741" max="9741" width="20.88671875" style="12" bestFit="1" customWidth="1"/>
    <col min="9742" max="9742" width="21.109375" style="12" bestFit="1" customWidth="1"/>
    <col min="9743" max="9743" width="28" style="12" bestFit="1" customWidth="1"/>
    <col min="9744" max="9744" width="15" style="12" bestFit="1" customWidth="1"/>
    <col min="9745" max="9745" width="28" style="12" bestFit="1" customWidth="1"/>
    <col min="9746" max="9746" width="2.5546875" style="12" customWidth="1"/>
    <col min="9747" max="9747" width="21" style="12" bestFit="1" customWidth="1"/>
    <col min="9748" max="9748" width="2.5546875" style="12" customWidth="1"/>
    <col min="9749" max="9749" width="26.33203125" style="12" bestFit="1" customWidth="1"/>
    <col min="9750" max="9750" width="16" style="12" bestFit="1" customWidth="1"/>
    <col min="9751" max="9753" width="16" style="12" customWidth="1"/>
    <col min="9754" max="9754" width="15" style="12" customWidth="1"/>
    <col min="9755" max="9755" width="16.109375" style="12" bestFit="1" customWidth="1"/>
    <col min="9756" max="9756" width="11.44140625" style="12"/>
    <col min="9757" max="9757" width="12.6640625" style="12" bestFit="1" customWidth="1"/>
    <col min="9758" max="9794" width="11.44140625" style="12"/>
    <col min="9795" max="9795" width="14" style="12" bestFit="1" customWidth="1"/>
    <col min="9796" max="9984" width="11.44140625" style="12"/>
    <col min="9985" max="9985" width="14.33203125" style="12" customWidth="1"/>
    <col min="9986" max="9986" width="25.109375" style="12" customWidth="1"/>
    <col min="9987" max="9987" width="22.44140625" style="12" bestFit="1" customWidth="1"/>
    <col min="9988" max="9988" width="21.33203125" style="12" bestFit="1" customWidth="1"/>
    <col min="9989" max="9989" width="24" style="12" bestFit="1" customWidth="1"/>
    <col min="9990" max="9990" width="17.88671875" style="12" bestFit="1" customWidth="1"/>
    <col min="9991" max="9991" width="2.5546875" style="12" customWidth="1"/>
    <col min="9992" max="9992" width="21.5546875" style="12" bestFit="1" customWidth="1"/>
    <col min="9993" max="9993" width="2.6640625" style="12" customWidth="1"/>
    <col min="9994" max="9994" width="33.109375" style="12" bestFit="1" customWidth="1"/>
    <col min="9995" max="9995" width="16.88671875" style="12" bestFit="1" customWidth="1"/>
    <col min="9996" max="9996" width="24.109375" style="12" bestFit="1" customWidth="1"/>
    <col min="9997" max="9997" width="20.88671875" style="12" bestFit="1" customWidth="1"/>
    <col min="9998" max="9998" width="21.109375" style="12" bestFit="1" customWidth="1"/>
    <col min="9999" max="9999" width="28" style="12" bestFit="1" customWidth="1"/>
    <col min="10000" max="10000" width="15" style="12" bestFit="1" customWidth="1"/>
    <col min="10001" max="10001" width="28" style="12" bestFit="1" customWidth="1"/>
    <col min="10002" max="10002" width="2.5546875" style="12" customWidth="1"/>
    <col min="10003" max="10003" width="21" style="12" bestFit="1" customWidth="1"/>
    <col min="10004" max="10004" width="2.5546875" style="12" customWidth="1"/>
    <col min="10005" max="10005" width="26.33203125" style="12" bestFit="1" customWidth="1"/>
    <col min="10006" max="10006" width="16" style="12" bestFit="1" customWidth="1"/>
    <col min="10007" max="10009" width="16" style="12" customWidth="1"/>
    <col min="10010" max="10010" width="15" style="12" customWidth="1"/>
    <col min="10011" max="10011" width="16.109375" style="12" bestFit="1" customWidth="1"/>
    <col min="10012" max="10012" width="11.44140625" style="12"/>
    <col min="10013" max="10013" width="12.6640625" style="12" bestFit="1" customWidth="1"/>
    <col min="10014" max="10050" width="11.44140625" style="12"/>
    <col min="10051" max="10051" width="14" style="12" bestFit="1" customWidth="1"/>
    <col min="10052" max="10240" width="11.44140625" style="12"/>
    <col min="10241" max="10241" width="14.33203125" style="12" customWidth="1"/>
    <col min="10242" max="10242" width="25.109375" style="12" customWidth="1"/>
    <col min="10243" max="10243" width="22.44140625" style="12" bestFit="1" customWidth="1"/>
    <col min="10244" max="10244" width="21.33203125" style="12" bestFit="1" customWidth="1"/>
    <col min="10245" max="10245" width="24" style="12" bestFit="1" customWidth="1"/>
    <col min="10246" max="10246" width="17.88671875" style="12" bestFit="1" customWidth="1"/>
    <col min="10247" max="10247" width="2.5546875" style="12" customWidth="1"/>
    <col min="10248" max="10248" width="21.5546875" style="12" bestFit="1" customWidth="1"/>
    <col min="10249" max="10249" width="2.6640625" style="12" customWidth="1"/>
    <col min="10250" max="10250" width="33.109375" style="12" bestFit="1" customWidth="1"/>
    <col min="10251" max="10251" width="16.88671875" style="12" bestFit="1" customWidth="1"/>
    <col min="10252" max="10252" width="24.109375" style="12" bestFit="1" customWidth="1"/>
    <col min="10253" max="10253" width="20.88671875" style="12" bestFit="1" customWidth="1"/>
    <col min="10254" max="10254" width="21.109375" style="12" bestFit="1" customWidth="1"/>
    <col min="10255" max="10255" width="28" style="12" bestFit="1" customWidth="1"/>
    <col min="10256" max="10256" width="15" style="12" bestFit="1" customWidth="1"/>
    <col min="10257" max="10257" width="28" style="12" bestFit="1" customWidth="1"/>
    <col min="10258" max="10258" width="2.5546875" style="12" customWidth="1"/>
    <col min="10259" max="10259" width="21" style="12" bestFit="1" customWidth="1"/>
    <col min="10260" max="10260" width="2.5546875" style="12" customWidth="1"/>
    <col min="10261" max="10261" width="26.33203125" style="12" bestFit="1" customWidth="1"/>
    <col min="10262" max="10262" width="16" style="12" bestFit="1" customWidth="1"/>
    <col min="10263" max="10265" width="16" style="12" customWidth="1"/>
    <col min="10266" max="10266" width="15" style="12" customWidth="1"/>
    <col min="10267" max="10267" width="16.109375" style="12" bestFit="1" customWidth="1"/>
    <col min="10268" max="10268" width="11.44140625" style="12"/>
    <col min="10269" max="10269" width="12.6640625" style="12" bestFit="1" customWidth="1"/>
    <col min="10270" max="10306" width="11.44140625" style="12"/>
    <col min="10307" max="10307" width="14" style="12" bestFit="1" customWidth="1"/>
    <col min="10308" max="10496" width="11.44140625" style="12"/>
    <col min="10497" max="10497" width="14.33203125" style="12" customWidth="1"/>
    <col min="10498" max="10498" width="25.109375" style="12" customWidth="1"/>
    <col min="10499" max="10499" width="22.44140625" style="12" bestFit="1" customWidth="1"/>
    <col min="10500" max="10500" width="21.33203125" style="12" bestFit="1" customWidth="1"/>
    <col min="10501" max="10501" width="24" style="12" bestFit="1" customWidth="1"/>
    <col min="10502" max="10502" width="17.88671875" style="12" bestFit="1" customWidth="1"/>
    <col min="10503" max="10503" width="2.5546875" style="12" customWidth="1"/>
    <col min="10504" max="10504" width="21.5546875" style="12" bestFit="1" customWidth="1"/>
    <col min="10505" max="10505" width="2.6640625" style="12" customWidth="1"/>
    <col min="10506" max="10506" width="33.109375" style="12" bestFit="1" customWidth="1"/>
    <col min="10507" max="10507" width="16.88671875" style="12" bestFit="1" customWidth="1"/>
    <col min="10508" max="10508" width="24.109375" style="12" bestFit="1" customWidth="1"/>
    <col min="10509" max="10509" width="20.88671875" style="12" bestFit="1" customWidth="1"/>
    <col min="10510" max="10510" width="21.109375" style="12" bestFit="1" customWidth="1"/>
    <col min="10511" max="10511" width="28" style="12" bestFit="1" customWidth="1"/>
    <col min="10512" max="10512" width="15" style="12" bestFit="1" customWidth="1"/>
    <col min="10513" max="10513" width="28" style="12" bestFit="1" customWidth="1"/>
    <col min="10514" max="10514" width="2.5546875" style="12" customWidth="1"/>
    <col min="10515" max="10515" width="21" style="12" bestFit="1" customWidth="1"/>
    <col min="10516" max="10516" width="2.5546875" style="12" customWidth="1"/>
    <col min="10517" max="10517" width="26.33203125" style="12" bestFit="1" customWidth="1"/>
    <col min="10518" max="10518" width="16" style="12" bestFit="1" customWidth="1"/>
    <col min="10519" max="10521" width="16" style="12" customWidth="1"/>
    <col min="10522" max="10522" width="15" style="12" customWidth="1"/>
    <col min="10523" max="10523" width="16.109375" style="12" bestFit="1" customWidth="1"/>
    <col min="10524" max="10524" width="11.44140625" style="12"/>
    <col min="10525" max="10525" width="12.6640625" style="12" bestFit="1" customWidth="1"/>
    <col min="10526" max="10562" width="11.44140625" style="12"/>
    <col min="10563" max="10563" width="14" style="12" bestFit="1" customWidth="1"/>
    <col min="10564" max="10752" width="11.44140625" style="12"/>
    <col min="10753" max="10753" width="14.33203125" style="12" customWidth="1"/>
    <col min="10754" max="10754" width="25.109375" style="12" customWidth="1"/>
    <col min="10755" max="10755" width="22.44140625" style="12" bestFit="1" customWidth="1"/>
    <col min="10756" max="10756" width="21.33203125" style="12" bestFit="1" customWidth="1"/>
    <col min="10757" max="10757" width="24" style="12" bestFit="1" customWidth="1"/>
    <col min="10758" max="10758" width="17.88671875" style="12" bestFit="1" customWidth="1"/>
    <col min="10759" max="10759" width="2.5546875" style="12" customWidth="1"/>
    <col min="10760" max="10760" width="21.5546875" style="12" bestFit="1" customWidth="1"/>
    <col min="10761" max="10761" width="2.6640625" style="12" customWidth="1"/>
    <col min="10762" max="10762" width="33.109375" style="12" bestFit="1" customWidth="1"/>
    <col min="10763" max="10763" width="16.88671875" style="12" bestFit="1" customWidth="1"/>
    <col min="10764" max="10764" width="24.109375" style="12" bestFit="1" customWidth="1"/>
    <col min="10765" max="10765" width="20.88671875" style="12" bestFit="1" customWidth="1"/>
    <col min="10766" max="10766" width="21.109375" style="12" bestFit="1" customWidth="1"/>
    <col min="10767" max="10767" width="28" style="12" bestFit="1" customWidth="1"/>
    <col min="10768" max="10768" width="15" style="12" bestFit="1" customWidth="1"/>
    <col min="10769" max="10769" width="28" style="12" bestFit="1" customWidth="1"/>
    <col min="10770" max="10770" width="2.5546875" style="12" customWidth="1"/>
    <col min="10771" max="10771" width="21" style="12" bestFit="1" customWidth="1"/>
    <col min="10772" max="10772" width="2.5546875" style="12" customWidth="1"/>
    <col min="10773" max="10773" width="26.33203125" style="12" bestFit="1" customWidth="1"/>
    <col min="10774" max="10774" width="16" style="12" bestFit="1" customWidth="1"/>
    <col min="10775" max="10777" width="16" style="12" customWidth="1"/>
    <col min="10778" max="10778" width="15" style="12" customWidth="1"/>
    <col min="10779" max="10779" width="16.109375" style="12" bestFit="1" customWidth="1"/>
    <col min="10780" max="10780" width="11.44140625" style="12"/>
    <col min="10781" max="10781" width="12.6640625" style="12" bestFit="1" customWidth="1"/>
    <col min="10782" max="10818" width="11.44140625" style="12"/>
    <col min="10819" max="10819" width="14" style="12" bestFit="1" customWidth="1"/>
    <col min="10820" max="11008" width="11.44140625" style="12"/>
    <col min="11009" max="11009" width="14.33203125" style="12" customWidth="1"/>
    <col min="11010" max="11010" width="25.109375" style="12" customWidth="1"/>
    <col min="11011" max="11011" width="22.44140625" style="12" bestFit="1" customWidth="1"/>
    <col min="11012" max="11012" width="21.33203125" style="12" bestFit="1" customWidth="1"/>
    <col min="11013" max="11013" width="24" style="12" bestFit="1" customWidth="1"/>
    <col min="11014" max="11014" width="17.88671875" style="12" bestFit="1" customWidth="1"/>
    <col min="11015" max="11015" width="2.5546875" style="12" customWidth="1"/>
    <col min="11016" max="11016" width="21.5546875" style="12" bestFit="1" customWidth="1"/>
    <col min="11017" max="11017" width="2.6640625" style="12" customWidth="1"/>
    <col min="11018" max="11018" width="33.109375" style="12" bestFit="1" customWidth="1"/>
    <col min="11019" max="11019" width="16.88671875" style="12" bestFit="1" customWidth="1"/>
    <col min="11020" max="11020" width="24.109375" style="12" bestFit="1" customWidth="1"/>
    <col min="11021" max="11021" width="20.88671875" style="12" bestFit="1" customWidth="1"/>
    <col min="11022" max="11022" width="21.109375" style="12" bestFit="1" customWidth="1"/>
    <col min="11023" max="11023" width="28" style="12" bestFit="1" customWidth="1"/>
    <col min="11024" max="11024" width="15" style="12" bestFit="1" customWidth="1"/>
    <col min="11025" max="11025" width="28" style="12" bestFit="1" customWidth="1"/>
    <col min="11026" max="11026" width="2.5546875" style="12" customWidth="1"/>
    <col min="11027" max="11027" width="21" style="12" bestFit="1" customWidth="1"/>
    <col min="11028" max="11028" width="2.5546875" style="12" customWidth="1"/>
    <col min="11029" max="11029" width="26.33203125" style="12" bestFit="1" customWidth="1"/>
    <col min="11030" max="11030" width="16" style="12" bestFit="1" customWidth="1"/>
    <col min="11031" max="11033" width="16" style="12" customWidth="1"/>
    <col min="11034" max="11034" width="15" style="12" customWidth="1"/>
    <col min="11035" max="11035" width="16.109375" style="12" bestFit="1" customWidth="1"/>
    <col min="11036" max="11036" width="11.44140625" style="12"/>
    <col min="11037" max="11037" width="12.6640625" style="12" bestFit="1" customWidth="1"/>
    <col min="11038" max="11074" width="11.44140625" style="12"/>
    <col min="11075" max="11075" width="14" style="12" bestFit="1" customWidth="1"/>
    <col min="11076" max="11264" width="11.44140625" style="12"/>
    <col min="11265" max="11265" width="14.33203125" style="12" customWidth="1"/>
    <col min="11266" max="11266" width="25.109375" style="12" customWidth="1"/>
    <col min="11267" max="11267" width="22.44140625" style="12" bestFit="1" customWidth="1"/>
    <col min="11268" max="11268" width="21.33203125" style="12" bestFit="1" customWidth="1"/>
    <col min="11269" max="11269" width="24" style="12" bestFit="1" customWidth="1"/>
    <col min="11270" max="11270" width="17.88671875" style="12" bestFit="1" customWidth="1"/>
    <col min="11271" max="11271" width="2.5546875" style="12" customWidth="1"/>
    <col min="11272" max="11272" width="21.5546875" style="12" bestFit="1" customWidth="1"/>
    <col min="11273" max="11273" width="2.6640625" style="12" customWidth="1"/>
    <col min="11274" max="11274" width="33.109375" style="12" bestFit="1" customWidth="1"/>
    <col min="11275" max="11275" width="16.88671875" style="12" bestFit="1" customWidth="1"/>
    <col min="11276" max="11276" width="24.109375" style="12" bestFit="1" customWidth="1"/>
    <col min="11277" max="11277" width="20.88671875" style="12" bestFit="1" customWidth="1"/>
    <col min="11278" max="11278" width="21.109375" style="12" bestFit="1" customWidth="1"/>
    <col min="11279" max="11279" width="28" style="12" bestFit="1" customWidth="1"/>
    <col min="11280" max="11280" width="15" style="12" bestFit="1" customWidth="1"/>
    <col min="11281" max="11281" width="28" style="12" bestFit="1" customWidth="1"/>
    <col min="11282" max="11282" width="2.5546875" style="12" customWidth="1"/>
    <col min="11283" max="11283" width="21" style="12" bestFit="1" customWidth="1"/>
    <col min="11284" max="11284" width="2.5546875" style="12" customWidth="1"/>
    <col min="11285" max="11285" width="26.33203125" style="12" bestFit="1" customWidth="1"/>
    <col min="11286" max="11286" width="16" style="12" bestFit="1" customWidth="1"/>
    <col min="11287" max="11289" width="16" style="12" customWidth="1"/>
    <col min="11290" max="11290" width="15" style="12" customWidth="1"/>
    <col min="11291" max="11291" width="16.109375" style="12" bestFit="1" customWidth="1"/>
    <col min="11292" max="11292" width="11.44140625" style="12"/>
    <col min="11293" max="11293" width="12.6640625" style="12" bestFit="1" customWidth="1"/>
    <col min="11294" max="11330" width="11.44140625" style="12"/>
    <col min="11331" max="11331" width="14" style="12" bestFit="1" customWidth="1"/>
    <col min="11332" max="11520" width="11.44140625" style="12"/>
    <col min="11521" max="11521" width="14.33203125" style="12" customWidth="1"/>
    <col min="11522" max="11522" width="25.109375" style="12" customWidth="1"/>
    <col min="11523" max="11523" width="22.44140625" style="12" bestFit="1" customWidth="1"/>
    <col min="11524" max="11524" width="21.33203125" style="12" bestFit="1" customWidth="1"/>
    <col min="11525" max="11525" width="24" style="12" bestFit="1" customWidth="1"/>
    <col min="11526" max="11526" width="17.88671875" style="12" bestFit="1" customWidth="1"/>
    <col min="11527" max="11527" width="2.5546875" style="12" customWidth="1"/>
    <col min="11528" max="11528" width="21.5546875" style="12" bestFit="1" customWidth="1"/>
    <col min="11529" max="11529" width="2.6640625" style="12" customWidth="1"/>
    <col min="11530" max="11530" width="33.109375" style="12" bestFit="1" customWidth="1"/>
    <col min="11531" max="11531" width="16.88671875" style="12" bestFit="1" customWidth="1"/>
    <col min="11532" max="11532" width="24.109375" style="12" bestFit="1" customWidth="1"/>
    <col min="11533" max="11533" width="20.88671875" style="12" bestFit="1" customWidth="1"/>
    <col min="11534" max="11534" width="21.109375" style="12" bestFit="1" customWidth="1"/>
    <col min="11535" max="11535" width="28" style="12" bestFit="1" customWidth="1"/>
    <col min="11536" max="11536" width="15" style="12" bestFit="1" customWidth="1"/>
    <col min="11537" max="11537" width="28" style="12" bestFit="1" customWidth="1"/>
    <col min="11538" max="11538" width="2.5546875" style="12" customWidth="1"/>
    <col min="11539" max="11539" width="21" style="12" bestFit="1" customWidth="1"/>
    <col min="11540" max="11540" width="2.5546875" style="12" customWidth="1"/>
    <col min="11541" max="11541" width="26.33203125" style="12" bestFit="1" customWidth="1"/>
    <col min="11542" max="11542" width="16" style="12" bestFit="1" customWidth="1"/>
    <col min="11543" max="11545" width="16" style="12" customWidth="1"/>
    <col min="11546" max="11546" width="15" style="12" customWidth="1"/>
    <col min="11547" max="11547" width="16.109375" style="12" bestFit="1" customWidth="1"/>
    <col min="11548" max="11548" width="11.44140625" style="12"/>
    <col min="11549" max="11549" width="12.6640625" style="12" bestFit="1" customWidth="1"/>
    <col min="11550" max="11586" width="11.44140625" style="12"/>
    <col min="11587" max="11587" width="14" style="12" bestFit="1" customWidth="1"/>
    <col min="11588" max="11776" width="11.44140625" style="12"/>
    <col min="11777" max="11777" width="14.33203125" style="12" customWidth="1"/>
    <col min="11778" max="11778" width="25.109375" style="12" customWidth="1"/>
    <col min="11779" max="11779" width="22.44140625" style="12" bestFit="1" customWidth="1"/>
    <col min="11780" max="11780" width="21.33203125" style="12" bestFit="1" customWidth="1"/>
    <col min="11781" max="11781" width="24" style="12" bestFit="1" customWidth="1"/>
    <col min="11782" max="11782" width="17.88671875" style="12" bestFit="1" customWidth="1"/>
    <col min="11783" max="11783" width="2.5546875" style="12" customWidth="1"/>
    <col min="11784" max="11784" width="21.5546875" style="12" bestFit="1" customWidth="1"/>
    <col min="11785" max="11785" width="2.6640625" style="12" customWidth="1"/>
    <col min="11786" max="11786" width="33.109375" style="12" bestFit="1" customWidth="1"/>
    <col min="11787" max="11787" width="16.88671875" style="12" bestFit="1" customWidth="1"/>
    <col min="11788" max="11788" width="24.109375" style="12" bestFit="1" customWidth="1"/>
    <col min="11789" max="11789" width="20.88671875" style="12" bestFit="1" customWidth="1"/>
    <col min="11790" max="11790" width="21.109375" style="12" bestFit="1" customWidth="1"/>
    <col min="11791" max="11791" width="28" style="12" bestFit="1" customWidth="1"/>
    <col min="11792" max="11792" width="15" style="12" bestFit="1" customWidth="1"/>
    <col min="11793" max="11793" width="28" style="12" bestFit="1" customWidth="1"/>
    <col min="11794" max="11794" width="2.5546875" style="12" customWidth="1"/>
    <col min="11795" max="11795" width="21" style="12" bestFit="1" customWidth="1"/>
    <col min="11796" max="11796" width="2.5546875" style="12" customWidth="1"/>
    <col min="11797" max="11797" width="26.33203125" style="12" bestFit="1" customWidth="1"/>
    <col min="11798" max="11798" width="16" style="12" bestFit="1" customWidth="1"/>
    <col min="11799" max="11801" width="16" style="12" customWidth="1"/>
    <col min="11802" max="11802" width="15" style="12" customWidth="1"/>
    <col min="11803" max="11803" width="16.109375" style="12" bestFit="1" customWidth="1"/>
    <col min="11804" max="11804" width="11.44140625" style="12"/>
    <col min="11805" max="11805" width="12.6640625" style="12" bestFit="1" customWidth="1"/>
    <col min="11806" max="11842" width="11.44140625" style="12"/>
    <col min="11843" max="11843" width="14" style="12" bestFit="1" customWidth="1"/>
    <col min="11844" max="12032" width="11.44140625" style="12"/>
    <col min="12033" max="12033" width="14.33203125" style="12" customWidth="1"/>
    <col min="12034" max="12034" width="25.109375" style="12" customWidth="1"/>
    <col min="12035" max="12035" width="22.44140625" style="12" bestFit="1" customWidth="1"/>
    <col min="12036" max="12036" width="21.33203125" style="12" bestFit="1" customWidth="1"/>
    <col min="12037" max="12037" width="24" style="12" bestFit="1" customWidth="1"/>
    <col min="12038" max="12038" width="17.88671875" style="12" bestFit="1" customWidth="1"/>
    <col min="12039" max="12039" width="2.5546875" style="12" customWidth="1"/>
    <col min="12040" max="12040" width="21.5546875" style="12" bestFit="1" customWidth="1"/>
    <col min="12041" max="12041" width="2.6640625" style="12" customWidth="1"/>
    <col min="12042" max="12042" width="33.109375" style="12" bestFit="1" customWidth="1"/>
    <col min="12043" max="12043" width="16.88671875" style="12" bestFit="1" customWidth="1"/>
    <col min="12044" max="12044" width="24.109375" style="12" bestFit="1" customWidth="1"/>
    <col min="12045" max="12045" width="20.88671875" style="12" bestFit="1" customWidth="1"/>
    <col min="12046" max="12046" width="21.109375" style="12" bestFit="1" customWidth="1"/>
    <col min="12047" max="12047" width="28" style="12" bestFit="1" customWidth="1"/>
    <col min="12048" max="12048" width="15" style="12" bestFit="1" customWidth="1"/>
    <col min="12049" max="12049" width="28" style="12" bestFit="1" customWidth="1"/>
    <col min="12050" max="12050" width="2.5546875" style="12" customWidth="1"/>
    <col min="12051" max="12051" width="21" style="12" bestFit="1" customWidth="1"/>
    <col min="12052" max="12052" width="2.5546875" style="12" customWidth="1"/>
    <col min="12053" max="12053" width="26.33203125" style="12" bestFit="1" customWidth="1"/>
    <col min="12054" max="12054" width="16" style="12" bestFit="1" customWidth="1"/>
    <col min="12055" max="12057" width="16" style="12" customWidth="1"/>
    <col min="12058" max="12058" width="15" style="12" customWidth="1"/>
    <col min="12059" max="12059" width="16.109375" style="12" bestFit="1" customWidth="1"/>
    <col min="12060" max="12060" width="11.44140625" style="12"/>
    <col min="12061" max="12061" width="12.6640625" style="12" bestFit="1" customWidth="1"/>
    <col min="12062" max="12098" width="11.44140625" style="12"/>
    <col min="12099" max="12099" width="14" style="12" bestFit="1" customWidth="1"/>
    <col min="12100" max="12288" width="11.44140625" style="12"/>
    <col min="12289" max="12289" width="14.33203125" style="12" customWidth="1"/>
    <col min="12290" max="12290" width="25.109375" style="12" customWidth="1"/>
    <col min="12291" max="12291" width="22.44140625" style="12" bestFit="1" customWidth="1"/>
    <col min="12292" max="12292" width="21.33203125" style="12" bestFit="1" customWidth="1"/>
    <col min="12293" max="12293" width="24" style="12" bestFit="1" customWidth="1"/>
    <col min="12294" max="12294" width="17.88671875" style="12" bestFit="1" customWidth="1"/>
    <col min="12295" max="12295" width="2.5546875" style="12" customWidth="1"/>
    <col min="12296" max="12296" width="21.5546875" style="12" bestFit="1" customWidth="1"/>
    <col min="12297" max="12297" width="2.6640625" style="12" customWidth="1"/>
    <col min="12298" max="12298" width="33.109375" style="12" bestFit="1" customWidth="1"/>
    <col min="12299" max="12299" width="16.88671875" style="12" bestFit="1" customWidth="1"/>
    <col min="12300" max="12300" width="24.109375" style="12" bestFit="1" customWidth="1"/>
    <col min="12301" max="12301" width="20.88671875" style="12" bestFit="1" customWidth="1"/>
    <col min="12302" max="12302" width="21.109375" style="12" bestFit="1" customWidth="1"/>
    <col min="12303" max="12303" width="28" style="12" bestFit="1" customWidth="1"/>
    <col min="12304" max="12304" width="15" style="12" bestFit="1" customWidth="1"/>
    <col min="12305" max="12305" width="28" style="12" bestFit="1" customWidth="1"/>
    <col min="12306" max="12306" width="2.5546875" style="12" customWidth="1"/>
    <col min="12307" max="12307" width="21" style="12" bestFit="1" customWidth="1"/>
    <col min="12308" max="12308" width="2.5546875" style="12" customWidth="1"/>
    <col min="12309" max="12309" width="26.33203125" style="12" bestFit="1" customWidth="1"/>
    <col min="12310" max="12310" width="16" style="12" bestFit="1" customWidth="1"/>
    <col min="12311" max="12313" width="16" style="12" customWidth="1"/>
    <col min="12314" max="12314" width="15" style="12" customWidth="1"/>
    <col min="12315" max="12315" width="16.109375" style="12" bestFit="1" customWidth="1"/>
    <col min="12316" max="12316" width="11.44140625" style="12"/>
    <col min="12317" max="12317" width="12.6640625" style="12" bestFit="1" customWidth="1"/>
    <col min="12318" max="12354" width="11.44140625" style="12"/>
    <col min="12355" max="12355" width="14" style="12" bestFit="1" customWidth="1"/>
    <col min="12356" max="12544" width="11.44140625" style="12"/>
    <col min="12545" max="12545" width="14.33203125" style="12" customWidth="1"/>
    <col min="12546" max="12546" width="25.109375" style="12" customWidth="1"/>
    <col min="12547" max="12547" width="22.44140625" style="12" bestFit="1" customWidth="1"/>
    <col min="12548" max="12548" width="21.33203125" style="12" bestFit="1" customWidth="1"/>
    <col min="12549" max="12549" width="24" style="12" bestFit="1" customWidth="1"/>
    <col min="12550" max="12550" width="17.88671875" style="12" bestFit="1" customWidth="1"/>
    <col min="12551" max="12551" width="2.5546875" style="12" customWidth="1"/>
    <col min="12552" max="12552" width="21.5546875" style="12" bestFit="1" customWidth="1"/>
    <col min="12553" max="12553" width="2.6640625" style="12" customWidth="1"/>
    <col min="12554" max="12554" width="33.109375" style="12" bestFit="1" customWidth="1"/>
    <col min="12555" max="12555" width="16.88671875" style="12" bestFit="1" customWidth="1"/>
    <col min="12556" max="12556" width="24.109375" style="12" bestFit="1" customWidth="1"/>
    <col min="12557" max="12557" width="20.88671875" style="12" bestFit="1" customWidth="1"/>
    <col min="12558" max="12558" width="21.109375" style="12" bestFit="1" customWidth="1"/>
    <col min="12559" max="12559" width="28" style="12" bestFit="1" customWidth="1"/>
    <col min="12560" max="12560" width="15" style="12" bestFit="1" customWidth="1"/>
    <col min="12561" max="12561" width="28" style="12" bestFit="1" customWidth="1"/>
    <col min="12562" max="12562" width="2.5546875" style="12" customWidth="1"/>
    <col min="12563" max="12563" width="21" style="12" bestFit="1" customWidth="1"/>
    <col min="12564" max="12564" width="2.5546875" style="12" customWidth="1"/>
    <col min="12565" max="12565" width="26.33203125" style="12" bestFit="1" customWidth="1"/>
    <col min="12566" max="12566" width="16" style="12" bestFit="1" customWidth="1"/>
    <col min="12567" max="12569" width="16" style="12" customWidth="1"/>
    <col min="12570" max="12570" width="15" style="12" customWidth="1"/>
    <col min="12571" max="12571" width="16.109375" style="12" bestFit="1" customWidth="1"/>
    <col min="12572" max="12572" width="11.44140625" style="12"/>
    <col min="12573" max="12573" width="12.6640625" style="12" bestFit="1" customWidth="1"/>
    <col min="12574" max="12610" width="11.44140625" style="12"/>
    <col min="12611" max="12611" width="14" style="12" bestFit="1" customWidth="1"/>
    <col min="12612" max="12800" width="11.44140625" style="12"/>
    <col min="12801" max="12801" width="14.33203125" style="12" customWidth="1"/>
    <col min="12802" max="12802" width="25.109375" style="12" customWidth="1"/>
    <col min="12803" max="12803" width="22.44140625" style="12" bestFit="1" customWidth="1"/>
    <col min="12804" max="12804" width="21.33203125" style="12" bestFit="1" customWidth="1"/>
    <col min="12805" max="12805" width="24" style="12" bestFit="1" customWidth="1"/>
    <col min="12806" max="12806" width="17.88671875" style="12" bestFit="1" customWidth="1"/>
    <col min="12807" max="12807" width="2.5546875" style="12" customWidth="1"/>
    <col min="12808" max="12808" width="21.5546875" style="12" bestFit="1" customWidth="1"/>
    <col min="12809" max="12809" width="2.6640625" style="12" customWidth="1"/>
    <col min="12810" max="12810" width="33.109375" style="12" bestFit="1" customWidth="1"/>
    <col min="12811" max="12811" width="16.88671875" style="12" bestFit="1" customWidth="1"/>
    <col min="12812" max="12812" width="24.109375" style="12" bestFit="1" customWidth="1"/>
    <col min="12813" max="12813" width="20.88671875" style="12" bestFit="1" customWidth="1"/>
    <col min="12814" max="12814" width="21.109375" style="12" bestFit="1" customWidth="1"/>
    <col min="12815" max="12815" width="28" style="12" bestFit="1" customWidth="1"/>
    <col min="12816" max="12816" width="15" style="12" bestFit="1" customWidth="1"/>
    <col min="12817" max="12817" width="28" style="12" bestFit="1" customWidth="1"/>
    <col min="12818" max="12818" width="2.5546875" style="12" customWidth="1"/>
    <col min="12819" max="12819" width="21" style="12" bestFit="1" customWidth="1"/>
    <col min="12820" max="12820" width="2.5546875" style="12" customWidth="1"/>
    <col min="12821" max="12821" width="26.33203125" style="12" bestFit="1" customWidth="1"/>
    <col min="12822" max="12822" width="16" style="12" bestFit="1" customWidth="1"/>
    <col min="12823" max="12825" width="16" style="12" customWidth="1"/>
    <col min="12826" max="12826" width="15" style="12" customWidth="1"/>
    <col min="12827" max="12827" width="16.109375" style="12" bestFit="1" customWidth="1"/>
    <col min="12828" max="12828" width="11.44140625" style="12"/>
    <col min="12829" max="12829" width="12.6640625" style="12" bestFit="1" customWidth="1"/>
    <col min="12830" max="12866" width="11.44140625" style="12"/>
    <col min="12867" max="12867" width="14" style="12" bestFit="1" customWidth="1"/>
    <col min="12868" max="13056" width="11.44140625" style="12"/>
    <col min="13057" max="13057" width="14.33203125" style="12" customWidth="1"/>
    <col min="13058" max="13058" width="25.109375" style="12" customWidth="1"/>
    <col min="13059" max="13059" width="22.44140625" style="12" bestFit="1" customWidth="1"/>
    <col min="13060" max="13060" width="21.33203125" style="12" bestFit="1" customWidth="1"/>
    <col min="13061" max="13061" width="24" style="12" bestFit="1" customWidth="1"/>
    <col min="13062" max="13062" width="17.88671875" style="12" bestFit="1" customWidth="1"/>
    <col min="13063" max="13063" width="2.5546875" style="12" customWidth="1"/>
    <col min="13064" max="13064" width="21.5546875" style="12" bestFit="1" customWidth="1"/>
    <col min="13065" max="13065" width="2.6640625" style="12" customWidth="1"/>
    <col min="13066" max="13066" width="33.109375" style="12" bestFit="1" customWidth="1"/>
    <col min="13067" max="13067" width="16.88671875" style="12" bestFit="1" customWidth="1"/>
    <col min="13068" max="13068" width="24.109375" style="12" bestFit="1" customWidth="1"/>
    <col min="13069" max="13069" width="20.88671875" style="12" bestFit="1" customWidth="1"/>
    <col min="13070" max="13070" width="21.109375" style="12" bestFit="1" customWidth="1"/>
    <col min="13071" max="13071" width="28" style="12" bestFit="1" customWidth="1"/>
    <col min="13072" max="13072" width="15" style="12" bestFit="1" customWidth="1"/>
    <col min="13073" max="13073" width="28" style="12" bestFit="1" customWidth="1"/>
    <col min="13074" max="13074" width="2.5546875" style="12" customWidth="1"/>
    <col min="13075" max="13075" width="21" style="12" bestFit="1" customWidth="1"/>
    <col min="13076" max="13076" width="2.5546875" style="12" customWidth="1"/>
    <col min="13077" max="13077" width="26.33203125" style="12" bestFit="1" customWidth="1"/>
    <col min="13078" max="13078" width="16" style="12" bestFit="1" customWidth="1"/>
    <col min="13079" max="13081" width="16" style="12" customWidth="1"/>
    <col min="13082" max="13082" width="15" style="12" customWidth="1"/>
    <col min="13083" max="13083" width="16.109375" style="12" bestFit="1" customWidth="1"/>
    <col min="13084" max="13084" width="11.44140625" style="12"/>
    <col min="13085" max="13085" width="12.6640625" style="12" bestFit="1" customWidth="1"/>
    <col min="13086" max="13122" width="11.44140625" style="12"/>
    <col min="13123" max="13123" width="14" style="12" bestFit="1" customWidth="1"/>
    <col min="13124" max="13312" width="11.44140625" style="12"/>
    <col min="13313" max="13313" width="14.33203125" style="12" customWidth="1"/>
    <col min="13314" max="13314" width="25.109375" style="12" customWidth="1"/>
    <col min="13315" max="13315" width="22.44140625" style="12" bestFit="1" customWidth="1"/>
    <col min="13316" max="13316" width="21.33203125" style="12" bestFit="1" customWidth="1"/>
    <col min="13317" max="13317" width="24" style="12" bestFit="1" customWidth="1"/>
    <col min="13318" max="13318" width="17.88671875" style="12" bestFit="1" customWidth="1"/>
    <col min="13319" max="13319" width="2.5546875" style="12" customWidth="1"/>
    <col min="13320" max="13320" width="21.5546875" style="12" bestFit="1" customWidth="1"/>
    <col min="13321" max="13321" width="2.6640625" style="12" customWidth="1"/>
    <col min="13322" max="13322" width="33.109375" style="12" bestFit="1" customWidth="1"/>
    <col min="13323" max="13323" width="16.88671875" style="12" bestFit="1" customWidth="1"/>
    <col min="13324" max="13324" width="24.109375" style="12" bestFit="1" customWidth="1"/>
    <col min="13325" max="13325" width="20.88671875" style="12" bestFit="1" customWidth="1"/>
    <col min="13326" max="13326" width="21.109375" style="12" bestFit="1" customWidth="1"/>
    <col min="13327" max="13327" width="28" style="12" bestFit="1" customWidth="1"/>
    <col min="13328" max="13328" width="15" style="12" bestFit="1" customWidth="1"/>
    <col min="13329" max="13329" width="28" style="12" bestFit="1" customWidth="1"/>
    <col min="13330" max="13330" width="2.5546875" style="12" customWidth="1"/>
    <col min="13331" max="13331" width="21" style="12" bestFit="1" customWidth="1"/>
    <col min="13332" max="13332" width="2.5546875" style="12" customWidth="1"/>
    <col min="13333" max="13333" width="26.33203125" style="12" bestFit="1" customWidth="1"/>
    <col min="13334" max="13334" width="16" style="12" bestFit="1" customWidth="1"/>
    <col min="13335" max="13337" width="16" style="12" customWidth="1"/>
    <col min="13338" max="13338" width="15" style="12" customWidth="1"/>
    <col min="13339" max="13339" width="16.109375" style="12" bestFit="1" customWidth="1"/>
    <col min="13340" max="13340" width="11.44140625" style="12"/>
    <col min="13341" max="13341" width="12.6640625" style="12" bestFit="1" customWidth="1"/>
    <col min="13342" max="13378" width="11.44140625" style="12"/>
    <col min="13379" max="13379" width="14" style="12" bestFit="1" customWidth="1"/>
    <col min="13380" max="13568" width="11.44140625" style="12"/>
    <col min="13569" max="13569" width="14.33203125" style="12" customWidth="1"/>
    <col min="13570" max="13570" width="25.109375" style="12" customWidth="1"/>
    <col min="13571" max="13571" width="22.44140625" style="12" bestFit="1" customWidth="1"/>
    <col min="13572" max="13572" width="21.33203125" style="12" bestFit="1" customWidth="1"/>
    <col min="13573" max="13573" width="24" style="12" bestFit="1" customWidth="1"/>
    <col min="13574" max="13574" width="17.88671875" style="12" bestFit="1" customWidth="1"/>
    <col min="13575" max="13575" width="2.5546875" style="12" customWidth="1"/>
    <col min="13576" max="13576" width="21.5546875" style="12" bestFit="1" customWidth="1"/>
    <col min="13577" max="13577" width="2.6640625" style="12" customWidth="1"/>
    <col min="13578" max="13578" width="33.109375" style="12" bestFit="1" customWidth="1"/>
    <col min="13579" max="13579" width="16.88671875" style="12" bestFit="1" customWidth="1"/>
    <col min="13580" max="13580" width="24.109375" style="12" bestFit="1" customWidth="1"/>
    <col min="13581" max="13581" width="20.88671875" style="12" bestFit="1" customWidth="1"/>
    <col min="13582" max="13582" width="21.109375" style="12" bestFit="1" customWidth="1"/>
    <col min="13583" max="13583" width="28" style="12" bestFit="1" customWidth="1"/>
    <col min="13584" max="13584" width="15" style="12" bestFit="1" customWidth="1"/>
    <col min="13585" max="13585" width="28" style="12" bestFit="1" customWidth="1"/>
    <col min="13586" max="13586" width="2.5546875" style="12" customWidth="1"/>
    <col min="13587" max="13587" width="21" style="12" bestFit="1" customWidth="1"/>
    <col min="13588" max="13588" width="2.5546875" style="12" customWidth="1"/>
    <col min="13589" max="13589" width="26.33203125" style="12" bestFit="1" customWidth="1"/>
    <col min="13590" max="13590" width="16" style="12" bestFit="1" customWidth="1"/>
    <col min="13591" max="13593" width="16" style="12" customWidth="1"/>
    <col min="13594" max="13594" width="15" style="12" customWidth="1"/>
    <col min="13595" max="13595" width="16.109375" style="12" bestFit="1" customWidth="1"/>
    <col min="13596" max="13596" width="11.44140625" style="12"/>
    <col min="13597" max="13597" width="12.6640625" style="12" bestFit="1" customWidth="1"/>
    <col min="13598" max="13634" width="11.44140625" style="12"/>
    <col min="13635" max="13635" width="14" style="12" bestFit="1" customWidth="1"/>
    <col min="13636" max="13824" width="11.44140625" style="12"/>
    <col min="13825" max="13825" width="14.33203125" style="12" customWidth="1"/>
    <col min="13826" max="13826" width="25.109375" style="12" customWidth="1"/>
    <col min="13827" max="13827" width="22.44140625" style="12" bestFit="1" customWidth="1"/>
    <col min="13828" max="13828" width="21.33203125" style="12" bestFit="1" customWidth="1"/>
    <col min="13829" max="13829" width="24" style="12" bestFit="1" customWidth="1"/>
    <col min="13830" max="13830" width="17.88671875" style="12" bestFit="1" customWidth="1"/>
    <col min="13831" max="13831" width="2.5546875" style="12" customWidth="1"/>
    <col min="13832" max="13832" width="21.5546875" style="12" bestFit="1" customWidth="1"/>
    <col min="13833" max="13833" width="2.6640625" style="12" customWidth="1"/>
    <col min="13834" max="13834" width="33.109375" style="12" bestFit="1" customWidth="1"/>
    <col min="13835" max="13835" width="16.88671875" style="12" bestFit="1" customWidth="1"/>
    <col min="13836" max="13836" width="24.109375" style="12" bestFit="1" customWidth="1"/>
    <col min="13837" max="13837" width="20.88671875" style="12" bestFit="1" customWidth="1"/>
    <col min="13838" max="13838" width="21.109375" style="12" bestFit="1" customWidth="1"/>
    <col min="13839" max="13839" width="28" style="12" bestFit="1" customWidth="1"/>
    <col min="13840" max="13840" width="15" style="12" bestFit="1" customWidth="1"/>
    <col min="13841" max="13841" width="28" style="12" bestFit="1" customWidth="1"/>
    <col min="13842" max="13842" width="2.5546875" style="12" customWidth="1"/>
    <col min="13843" max="13843" width="21" style="12" bestFit="1" customWidth="1"/>
    <col min="13844" max="13844" width="2.5546875" style="12" customWidth="1"/>
    <col min="13845" max="13845" width="26.33203125" style="12" bestFit="1" customWidth="1"/>
    <col min="13846" max="13846" width="16" style="12" bestFit="1" customWidth="1"/>
    <col min="13847" max="13849" width="16" style="12" customWidth="1"/>
    <col min="13850" max="13850" width="15" style="12" customWidth="1"/>
    <col min="13851" max="13851" width="16.109375" style="12" bestFit="1" customWidth="1"/>
    <col min="13852" max="13852" width="11.44140625" style="12"/>
    <col min="13853" max="13853" width="12.6640625" style="12" bestFit="1" customWidth="1"/>
    <col min="13854" max="13890" width="11.44140625" style="12"/>
    <col min="13891" max="13891" width="14" style="12" bestFit="1" customWidth="1"/>
    <col min="13892" max="14080" width="11.44140625" style="12"/>
    <col min="14081" max="14081" width="14.33203125" style="12" customWidth="1"/>
    <col min="14082" max="14082" width="25.109375" style="12" customWidth="1"/>
    <col min="14083" max="14083" width="22.44140625" style="12" bestFit="1" customWidth="1"/>
    <col min="14084" max="14084" width="21.33203125" style="12" bestFit="1" customWidth="1"/>
    <col min="14085" max="14085" width="24" style="12" bestFit="1" customWidth="1"/>
    <col min="14086" max="14086" width="17.88671875" style="12" bestFit="1" customWidth="1"/>
    <col min="14087" max="14087" width="2.5546875" style="12" customWidth="1"/>
    <col min="14088" max="14088" width="21.5546875" style="12" bestFit="1" customWidth="1"/>
    <col min="14089" max="14089" width="2.6640625" style="12" customWidth="1"/>
    <col min="14090" max="14090" width="33.109375" style="12" bestFit="1" customWidth="1"/>
    <col min="14091" max="14091" width="16.88671875" style="12" bestFit="1" customWidth="1"/>
    <col min="14092" max="14092" width="24.109375" style="12" bestFit="1" customWidth="1"/>
    <col min="14093" max="14093" width="20.88671875" style="12" bestFit="1" customWidth="1"/>
    <col min="14094" max="14094" width="21.109375" style="12" bestFit="1" customWidth="1"/>
    <col min="14095" max="14095" width="28" style="12" bestFit="1" customWidth="1"/>
    <col min="14096" max="14096" width="15" style="12" bestFit="1" customWidth="1"/>
    <col min="14097" max="14097" width="28" style="12" bestFit="1" customWidth="1"/>
    <col min="14098" max="14098" width="2.5546875" style="12" customWidth="1"/>
    <col min="14099" max="14099" width="21" style="12" bestFit="1" customWidth="1"/>
    <col min="14100" max="14100" width="2.5546875" style="12" customWidth="1"/>
    <col min="14101" max="14101" width="26.33203125" style="12" bestFit="1" customWidth="1"/>
    <col min="14102" max="14102" width="16" style="12" bestFit="1" customWidth="1"/>
    <col min="14103" max="14105" width="16" style="12" customWidth="1"/>
    <col min="14106" max="14106" width="15" style="12" customWidth="1"/>
    <col min="14107" max="14107" width="16.109375" style="12" bestFit="1" customWidth="1"/>
    <col min="14108" max="14108" width="11.44140625" style="12"/>
    <col min="14109" max="14109" width="12.6640625" style="12" bestFit="1" customWidth="1"/>
    <col min="14110" max="14146" width="11.44140625" style="12"/>
    <col min="14147" max="14147" width="14" style="12" bestFit="1" customWidth="1"/>
    <col min="14148" max="14336" width="11.44140625" style="12"/>
    <col min="14337" max="14337" width="14.33203125" style="12" customWidth="1"/>
    <col min="14338" max="14338" width="25.109375" style="12" customWidth="1"/>
    <col min="14339" max="14339" width="22.44140625" style="12" bestFit="1" customWidth="1"/>
    <col min="14340" max="14340" width="21.33203125" style="12" bestFit="1" customWidth="1"/>
    <col min="14341" max="14341" width="24" style="12" bestFit="1" customWidth="1"/>
    <col min="14342" max="14342" width="17.88671875" style="12" bestFit="1" customWidth="1"/>
    <col min="14343" max="14343" width="2.5546875" style="12" customWidth="1"/>
    <col min="14344" max="14344" width="21.5546875" style="12" bestFit="1" customWidth="1"/>
    <col min="14345" max="14345" width="2.6640625" style="12" customWidth="1"/>
    <col min="14346" max="14346" width="33.109375" style="12" bestFit="1" customWidth="1"/>
    <col min="14347" max="14347" width="16.88671875" style="12" bestFit="1" customWidth="1"/>
    <col min="14348" max="14348" width="24.109375" style="12" bestFit="1" customWidth="1"/>
    <col min="14349" max="14349" width="20.88671875" style="12" bestFit="1" customWidth="1"/>
    <col min="14350" max="14350" width="21.109375" style="12" bestFit="1" customWidth="1"/>
    <col min="14351" max="14351" width="28" style="12" bestFit="1" customWidth="1"/>
    <col min="14352" max="14352" width="15" style="12" bestFit="1" customWidth="1"/>
    <col min="14353" max="14353" width="28" style="12" bestFit="1" customWidth="1"/>
    <col min="14354" max="14354" width="2.5546875" style="12" customWidth="1"/>
    <col min="14355" max="14355" width="21" style="12" bestFit="1" customWidth="1"/>
    <col min="14356" max="14356" width="2.5546875" style="12" customWidth="1"/>
    <col min="14357" max="14357" width="26.33203125" style="12" bestFit="1" customWidth="1"/>
    <col min="14358" max="14358" width="16" style="12" bestFit="1" customWidth="1"/>
    <col min="14359" max="14361" width="16" style="12" customWidth="1"/>
    <col min="14362" max="14362" width="15" style="12" customWidth="1"/>
    <col min="14363" max="14363" width="16.109375" style="12" bestFit="1" customWidth="1"/>
    <col min="14364" max="14364" width="11.44140625" style="12"/>
    <col min="14365" max="14365" width="12.6640625" style="12" bestFit="1" customWidth="1"/>
    <col min="14366" max="14402" width="11.44140625" style="12"/>
    <col min="14403" max="14403" width="14" style="12" bestFit="1" customWidth="1"/>
    <col min="14404" max="14592" width="11.44140625" style="12"/>
    <col min="14593" max="14593" width="14.33203125" style="12" customWidth="1"/>
    <col min="14594" max="14594" width="25.109375" style="12" customWidth="1"/>
    <col min="14595" max="14595" width="22.44140625" style="12" bestFit="1" customWidth="1"/>
    <col min="14596" max="14596" width="21.33203125" style="12" bestFit="1" customWidth="1"/>
    <col min="14597" max="14597" width="24" style="12" bestFit="1" customWidth="1"/>
    <col min="14598" max="14598" width="17.88671875" style="12" bestFit="1" customWidth="1"/>
    <col min="14599" max="14599" width="2.5546875" style="12" customWidth="1"/>
    <col min="14600" max="14600" width="21.5546875" style="12" bestFit="1" customWidth="1"/>
    <col min="14601" max="14601" width="2.6640625" style="12" customWidth="1"/>
    <col min="14602" max="14602" width="33.109375" style="12" bestFit="1" customWidth="1"/>
    <col min="14603" max="14603" width="16.88671875" style="12" bestFit="1" customWidth="1"/>
    <col min="14604" max="14604" width="24.109375" style="12" bestFit="1" customWidth="1"/>
    <col min="14605" max="14605" width="20.88671875" style="12" bestFit="1" customWidth="1"/>
    <col min="14606" max="14606" width="21.109375" style="12" bestFit="1" customWidth="1"/>
    <col min="14607" max="14607" width="28" style="12" bestFit="1" customWidth="1"/>
    <col min="14608" max="14608" width="15" style="12" bestFit="1" customWidth="1"/>
    <col min="14609" max="14609" width="28" style="12" bestFit="1" customWidth="1"/>
    <col min="14610" max="14610" width="2.5546875" style="12" customWidth="1"/>
    <col min="14611" max="14611" width="21" style="12" bestFit="1" customWidth="1"/>
    <col min="14612" max="14612" width="2.5546875" style="12" customWidth="1"/>
    <col min="14613" max="14613" width="26.33203125" style="12" bestFit="1" customWidth="1"/>
    <col min="14614" max="14614" width="16" style="12" bestFit="1" customWidth="1"/>
    <col min="14615" max="14617" width="16" style="12" customWidth="1"/>
    <col min="14618" max="14618" width="15" style="12" customWidth="1"/>
    <col min="14619" max="14619" width="16.109375" style="12" bestFit="1" customWidth="1"/>
    <col min="14620" max="14620" width="11.44140625" style="12"/>
    <col min="14621" max="14621" width="12.6640625" style="12" bestFit="1" customWidth="1"/>
    <col min="14622" max="14658" width="11.44140625" style="12"/>
    <col min="14659" max="14659" width="14" style="12" bestFit="1" customWidth="1"/>
    <col min="14660" max="14848" width="11.44140625" style="12"/>
    <col min="14849" max="14849" width="14.33203125" style="12" customWidth="1"/>
    <col min="14850" max="14850" width="25.109375" style="12" customWidth="1"/>
    <col min="14851" max="14851" width="22.44140625" style="12" bestFit="1" customWidth="1"/>
    <col min="14852" max="14852" width="21.33203125" style="12" bestFit="1" customWidth="1"/>
    <col min="14853" max="14853" width="24" style="12" bestFit="1" customWidth="1"/>
    <col min="14854" max="14854" width="17.88671875" style="12" bestFit="1" customWidth="1"/>
    <col min="14855" max="14855" width="2.5546875" style="12" customWidth="1"/>
    <col min="14856" max="14856" width="21.5546875" style="12" bestFit="1" customWidth="1"/>
    <col min="14857" max="14857" width="2.6640625" style="12" customWidth="1"/>
    <col min="14858" max="14858" width="33.109375" style="12" bestFit="1" customWidth="1"/>
    <col min="14859" max="14859" width="16.88671875" style="12" bestFit="1" customWidth="1"/>
    <col min="14860" max="14860" width="24.109375" style="12" bestFit="1" customWidth="1"/>
    <col min="14861" max="14861" width="20.88671875" style="12" bestFit="1" customWidth="1"/>
    <col min="14862" max="14862" width="21.109375" style="12" bestFit="1" customWidth="1"/>
    <col min="14863" max="14863" width="28" style="12" bestFit="1" customWidth="1"/>
    <col min="14864" max="14864" width="15" style="12" bestFit="1" customWidth="1"/>
    <col min="14865" max="14865" width="28" style="12" bestFit="1" customWidth="1"/>
    <col min="14866" max="14866" width="2.5546875" style="12" customWidth="1"/>
    <col min="14867" max="14867" width="21" style="12" bestFit="1" customWidth="1"/>
    <col min="14868" max="14868" width="2.5546875" style="12" customWidth="1"/>
    <col min="14869" max="14869" width="26.33203125" style="12" bestFit="1" customWidth="1"/>
    <col min="14870" max="14870" width="16" style="12" bestFit="1" customWidth="1"/>
    <col min="14871" max="14873" width="16" style="12" customWidth="1"/>
    <col min="14874" max="14874" width="15" style="12" customWidth="1"/>
    <col min="14875" max="14875" width="16.109375" style="12" bestFit="1" customWidth="1"/>
    <col min="14876" max="14876" width="11.44140625" style="12"/>
    <col min="14877" max="14877" width="12.6640625" style="12" bestFit="1" customWidth="1"/>
    <col min="14878" max="14914" width="11.44140625" style="12"/>
    <col min="14915" max="14915" width="14" style="12" bestFit="1" customWidth="1"/>
    <col min="14916" max="15104" width="11.44140625" style="12"/>
    <col min="15105" max="15105" width="14.33203125" style="12" customWidth="1"/>
    <col min="15106" max="15106" width="25.109375" style="12" customWidth="1"/>
    <col min="15107" max="15107" width="22.44140625" style="12" bestFit="1" customWidth="1"/>
    <col min="15108" max="15108" width="21.33203125" style="12" bestFit="1" customWidth="1"/>
    <col min="15109" max="15109" width="24" style="12" bestFit="1" customWidth="1"/>
    <col min="15110" max="15110" width="17.88671875" style="12" bestFit="1" customWidth="1"/>
    <col min="15111" max="15111" width="2.5546875" style="12" customWidth="1"/>
    <col min="15112" max="15112" width="21.5546875" style="12" bestFit="1" customWidth="1"/>
    <col min="15113" max="15113" width="2.6640625" style="12" customWidth="1"/>
    <col min="15114" max="15114" width="33.109375" style="12" bestFit="1" customWidth="1"/>
    <col min="15115" max="15115" width="16.88671875" style="12" bestFit="1" customWidth="1"/>
    <col min="15116" max="15116" width="24.109375" style="12" bestFit="1" customWidth="1"/>
    <col min="15117" max="15117" width="20.88671875" style="12" bestFit="1" customWidth="1"/>
    <col min="15118" max="15118" width="21.109375" style="12" bestFit="1" customWidth="1"/>
    <col min="15119" max="15119" width="28" style="12" bestFit="1" customWidth="1"/>
    <col min="15120" max="15120" width="15" style="12" bestFit="1" customWidth="1"/>
    <col min="15121" max="15121" width="28" style="12" bestFit="1" customWidth="1"/>
    <col min="15122" max="15122" width="2.5546875" style="12" customWidth="1"/>
    <col min="15123" max="15123" width="21" style="12" bestFit="1" customWidth="1"/>
    <col min="15124" max="15124" width="2.5546875" style="12" customWidth="1"/>
    <col min="15125" max="15125" width="26.33203125" style="12" bestFit="1" customWidth="1"/>
    <col min="15126" max="15126" width="16" style="12" bestFit="1" customWidth="1"/>
    <col min="15127" max="15129" width="16" style="12" customWidth="1"/>
    <col min="15130" max="15130" width="15" style="12" customWidth="1"/>
    <col min="15131" max="15131" width="16.109375" style="12" bestFit="1" customWidth="1"/>
    <col min="15132" max="15132" width="11.44140625" style="12"/>
    <col min="15133" max="15133" width="12.6640625" style="12" bestFit="1" customWidth="1"/>
    <col min="15134" max="15170" width="11.44140625" style="12"/>
    <col min="15171" max="15171" width="14" style="12" bestFit="1" customWidth="1"/>
    <col min="15172" max="15360" width="11.44140625" style="12"/>
    <col min="15361" max="15361" width="14.33203125" style="12" customWidth="1"/>
    <col min="15362" max="15362" width="25.109375" style="12" customWidth="1"/>
    <col min="15363" max="15363" width="22.44140625" style="12" bestFit="1" customWidth="1"/>
    <col min="15364" max="15364" width="21.33203125" style="12" bestFit="1" customWidth="1"/>
    <col min="15365" max="15365" width="24" style="12" bestFit="1" customWidth="1"/>
    <col min="15366" max="15366" width="17.88671875" style="12" bestFit="1" customWidth="1"/>
    <col min="15367" max="15367" width="2.5546875" style="12" customWidth="1"/>
    <col min="15368" max="15368" width="21.5546875" style="12" bestFit="1" customWidth="1"/>
    <col min="15369" max="15369" width="2.6640625" style="12" customWidth="1"/>
    <col min="15370" max="15370" width="33.109375" style="12" bestFit="1" customWidth="1"/>
    <col min="15371" max="15371" width="16.88671875" style="12" bestFit="1" customWidth="1"/>
    <col min="15372" max="15372" width="24.109375" style="12" bestFit="1" customWidth="1"/>
    <col min="15373" max="15373" width="20.88671875" style="12" bestFit="1" customWidth="1"/>
    <col min="15374" max="15374" width="21.109375" style="12" bestFit="1" customWidth="1"/>
    <col min="15375" max="15375" width="28" style="12" bestFit="1" customWidth="1"/>
    <col min="15376" max="15376" width="15" style="12" bestFit="1" customWidth="1"/>
    <col min="15377" max="15377" width="28" style="12" bestFit="1" customWidth="1"/>
    <col min="15378" max="15378" width="2.5546875" style="12" customWidth="1"/>
    <col min="15379" max="15379" width="21" style="12" bestFit="1" customWidth="1"/>
    <col min="15380" max="15380" width="2.5546875" style="12" customWidth="1"/>
    <col min="15381" max="15381" width="26.33203125" style="12" bestFit="1" customWidth="1"/>
    <col min="15382" max="15382" width="16" style="12" bestFit="1" customWidth="1"/>
    <col min="15383" max="15385" width="16" style="12" customWidth="1"/>
    <col min="15386" max="15386" width="15" style="12" customWidth="1"/>
    <col min="15387" max="15387" width="16.109375" style="12" bestFit="1" customWidth="1"/>
    <col min="15388" max="15388" width="11.44140625" style="12"/>
    <col min="15389" max="15389" width="12.6640625" style="12" bestFit="1" customWidth="1"/>
    <col min="15390" max="15426" width="11.44140625" style="12"/>
    <col min="15427" max="15427" width="14" style="12" bestFit="1" customWidth="1"/>
    <col min="15428" max="15616" width="11.44140625" style="12"/>
    <col min="15617" max="15617" width="14.33203125" style="12" customWidth="1"/>
    <col min="15618" max="15618" width="25.109375" style="12" customWidth="1"/>
    <col min="15619" max="15619" width="22.44140625" style="12" bestFit="1" customWidth="1"/>
    <col min="15620" max="15620" width="21.33203125" style="12" bestFit="1" customWidth="1"/>
    <col min="15621" max="15621" width="24" style="12" bestFit="1" customWidth="1"/>
    <col min="15622" max="15622" width="17.88671875" style="12" bestFit="1" customWidth="1"/>
    <col min="15623" max="15623" width="2.5546875" style="12" customWidth="1"/>
    <col min="15624" max="15624" width="21.5546875" style="12" bestFit="1" customWidth="1"/>
    <col min="15625" max="15625" width="2.6640625" style="12" customWidth="1"/>
    <col min="15626" max="15626" width="33.109375" style="12" bestFit="1" customWidth="1"/>
    <col min="15627" max="15627" width="16.88671875" style="12" bestFit="1" customWidth="1"/>
    <col min="15628" max="15628" width="24.109375" style="12" bestFit="1" customWidth="1"/>
    <col min="15629" max="15629" width="20.88671875" style="12" bestFit="1" customWidth="1"/>
    <col min="15630" max="15630" width="21.109375" style="12" bestFit="1" customWidth="1"/>
    <col min="15631" max="15631" width="28" style="12" bestFit="1" customWidth="1"/>
    <col min="15632" max="15632" width="15" style="12" bestFit="1" customWidth="1"/>
    <col min="15633" max="15633" width="28" style="12" bestFit="1" customWidth="1"/>
    <col min="15634" max="15634" width="2.5546875" style="12" customWidth="1"/>
    <col min="15635" max="15635" width="21" style="12" bestFit="1" customWidth="1"/>
    <col min="15636" max="15636" width="2.5546875" style="12" customWidth="1"/>
    <col min="15637" max="15637" width="26.33203125" style="12" bestFit="1" customWidth="1"/>
    <col min="15638" max="15638" width="16" style="12" bestFit="1" customWidth="1"/>
    <col min="15639" max="15641" width="16" style="12" customWidth="1"/>
    <col min="15642" max="15642" width="15" style="12" customWidth="1"/>
    <col min="15643" max="15643" width="16.109375" style="12" bestFit="1" customWidth="1"/>
    <col min="15644" max="15644" width="11.44140625" style="12"/>
    <col min="15645" max="15645" width="12.6640625" style="12" bestFit="1" customWidth="1"/>
    <col min="15646" max="15682" width="11.44140625" style="12"/>
    <col min="15683" max="15683" width="14" style="12" bestFit="1" customWidth="1"/>
    <col min="15684" max="15872" width="11.44140625" style="12"/>
    <col min="15873" max="15873" width="14.33203125" style="12" customWidth="1"/>
    <col min="15874" max="15874" width="25.109375" style="12" customWidth="1"/>
    <col min="15875" max="15875" width="22.44140625" style="12" bestFit="1" customWidth="1"/>
    <col min="15876" max="15876" width="21.33203125" style="12" bestFit="1" customWidth="1"/>
    <col min="15877" max="15877" width="24" style="12" bestFit="1" customWidth="1"/>
    <col min="15878" max="15878" width="17.88671875" style="12" bestFit="1" customWidth="1"/>
    <col min="15879" max="15879" width="2.5546875" style="12" customWidth="1"/>
    <col min="15880" max="15880" width="21.5546875" style="12" bestFit="1" customWidth="1"/>
    <col min="15881" max="15881" width="2.6640625" style="12" customWidth="1"/>
    <col min="15882" max="15882" width="33.109375" style="12" bestFit="1" customWidth="1"/>
    <col min="15883" max="15883" width="16.88671875" style="12" bestFit="1" customWidth="1"/>
    <col min="15884" max="15884" width="24.109375" style="12" bestFit="1" customWidth="1"/>
    <col min="15885" max="15885" width="20.88671875" style="12" bestFit="1" customWidth="1"/>
    <col min="15886" max="15886" width="21.109375" style="12" bestFit="1" customWidth="1"/>
    <col min="15887" max="15887" width="28" style="12" bestFit="1" customWidth="1"/>
    <col min="15888" max="15888" width="15" style="12" bestFit="1" customWidth="1"/>
    <col min="15889" max="15889" width="28" style="12" bestFit="1" customWidth="1"/>
    <col min="15890" max="15890" width="2.5546875" style="12" customWidth="1"/>
    <col min="15891" max="15891" width="21" style="12" bestFit="1" customWidth="1"/>
    <col min="15892" max="15892" width="2.5546875" style="12" customWidth="1"/>
    <col min="15893" max="15893" width="26.33203125" style="12" bestFit="1" customWidth="1"/>
    <col min="15894" max="15894" width="16" style="12" bestFit="1" customWidth="1"/>
    <col min="15895" max="15897" width="16" style="12" customWidth="1"/>
    <col min="15898" max="15898" width="15" style="12" customWidth="1"/>
    <col min="15899" max="15899" width="16.109375" style="12" bestFit="1" customWidth="1"/>
    <col min="15900" max="15900" width="11.44140625" style="12"/>
    <col min="15901" max="15901" width="12.6640625" style="12" bestFit="1" customWidth="1"/>
    <col min="15902" max="15938" width="11.44140625" style="12"/>
    <col min="15939" max="15939" width="14" style="12" bestFit="1" customWidth="1"/>
    <col min="15940" max="16128" width="11.44140625" style="12"/>
    <col min="16129" max="16129" width="14.33203125" style="12" customWidth="1"/>
    <col min="16130" max="16130" width="25.109375" style="12" customWidth="1"/>
    <col min="16131" max="16131" width="22.44140625" style="12" bestFit="1" customWidth="1"/>
    <col min="16132" max="16132" width="21.33203125" style="12" bestFit="1" customWidth="1"/>
    <col min="16133" max="16133" width="24" style="12" bestFit="1" customWidth="1"/>
    <col min="16134" max="16134" width="17.88671875" style="12" bestFit="1" customWidth="1"/>
    <col min="16135" max="16135" width="2.5546875" style="12" customWidth="1"/>
    <col min="16136" max="16136" width="21.5546875" style="12" bestFit="1" customWidth="1"/>
    <col min="16137" max="16137" width="2.6640625" style="12" customWidth="1"/>
    <col min="16138" max="16138" width="33.109375" style="12" bestFit="1" customWidth="1"/>
    <col min="16139" max="16139" width="16.88671875" style="12" bestFit="1" customWidth="1"/>
    <col min="16140" max="16140" width="24.109375" style="12" bestFit="1" customWidth="1"/>
    <col min="16141" max="16141" width="20.88671875" style="12" bestFit="1" customWidth="1"/>
    <col min="16142" max="16142" width="21.109375" style="12" bestFit="1" customWidth="1"/>
    <col min="16143" max="16143" width="28" style="12" bestFit="1" customWidth="1"/>
    <col min="16144" max="16144" width="15" style="12" bestFit="1" customWidth="1"/>
    <col min="16145" max="16145" width="28" style="12" bestFit="1" customWidth="1"/>
    <col min="16146" max="16146" width="2.5546875" style="12" customWidth="1"/>
    <col min="16147" max="16147" width="21" style="12" bestFit="1" customWidth="1"/>
    <col min="16148" max="16148" width="2.5546875" style="12" customWidth="1"/>
    <col min="16149" max="16149" width="26.33203125" style="12" bestFit="1" customWidth="1"/>
    <col min="16150" max="16150" width="16" style="12" bestFit="1" customWidth="1"/>
    <col min="16151" max="16153" width="16" style="12" customWidth="1"/>
    <col min="16154" max="16154" width="15" style="12" customWidth="1"/>
    <col min="16155" max="16155" width="16.109375" style="12" bestFit="1" customWidth="1"/>
    <col min="16156" max="16156" width="11.44140625" style="12"/>
    <col min="16157" max="16157" width="12.6640625" style="12" bestFit="1" customWidth="1"/>
    <col min="16158" max="16194" width="11.44140625" style="12"/>
    <col min="16195" max="16195" width="14" style="12" bestFit="1" customWidth="1"/>
    <col min="16196" max="16384" width="11.44140625" style="12"/>
  </cols>
  <sheetData>
    <row r="1" spans="1:70" ht="13.2">
      <c r="A1" s="105"/>
      <c r="B1" s="107" t="s">
        <v>110</v>
      </c>
      <c r="C1" s="16"/>
      <c r="D1" s="16"/>
      <c r="E1" s="105"/>
      <c r="F1" s="105"/>
      <c r="G1" s="105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5"/>
      <c r="U1" s="106"/>
      <c r="V1" s="106"/>
      <c r="W1" s="106"/>
      <c r="X1" s="106"/>
      <c r="Y1" s="106"/>
      <c r="Z1" s="106"/>
      <c r="AA1" s="106"/>
    </row>
    <row r="2" spans="1:70" ht="13.2">
      <c r="A2" s="101"/>
      <c r="B2" s="104" t="s">
        <v>109</v>
      </c>
      <c r="C2" s="104"/>
      <c r="D2" s="104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70" ht="13.2">
      <c r="A3" s="105"/>
      <c r="B3" s="104" t="s">
        <v>108</v>
      </c>
      <c r="C3" s="104"/>
      <c r="D3" s="104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70" ht="13.2">
      <c r="A4" s="101"/>
      <c r="B4" s="104" t="s">
        <v>107</v>
      </c>
      <c r="C4" s="104"/>
      <c r="D4" s="104"/>
      <c r="E4" s="101"/>
      <c r="F4" s="101"/>
      <c r="G4" s="101"/>
      <c r="H4" s="101"/>
      <c r="I4" s="101"/>
      <c r="J4" s="103"/>
      <c r="K4" s="102"/>
      <c r="L4" s="102"/>
      <c r="M4" s="102"/>
      <c r="N4" s="102"/>
      <c r="O4" s="102"/>
      <c r="P4" s="102"/>
      <c r="Q4" s="12"/>
      <c r="R4" s="102"/>
      <c r="S4" s="100"/>
      <c r="T4" s="101"/>
      <c r="U4" s="100"/>
      <c r="V4" s="100"/>
      <c r="W4" s="100"/>
      <c r="X4" s="100"/>
      <c r="Y4" s="100"/>
      <c r="Z4" s="100"/>
      <c r="AA4" s="100"/>
      <c r="AZ4" s="19"/>
      <c r="BA4" s="19"/>
      <c r="BB4" s="19"/>
      <c r="BC4" s="19"/>
      <c r="BD4" s="19"/>
      <c r="BE4" s="19"/>
      <c r="BF4" s="19"/>
      <c r="BG4" s="19"/>
      <c r="BH4" s="40"/>
    </row>
    <row r="5" spans="1:70" ht="13.2">
      <c r="A5" s="94"/>
      <c r="B5" s="99"/>
      <c r="C5" s="98"/>
      <c r="D5" s="98"/>
      <c r="E5" s="94"/>
      <c r="F5" s="94"/>
      <c r="G5" s="94"/>
      <c r="H5" s="94"/>
      <c r="I5" s="94"/>
      <c r="J5" s="97"/>
      <c r="K5" s="95"/>
      <c r="L5" s="95"/>
      <c r="M5" s="95"/>
      <c r="N5" s="95"/>
      <c r="O5" s="95"/>
      <c r="P5" s="95"/>
      <c r="Q5" s="96"/>
      <c r="R5" s="95"/>
      <c r="S5" s="93"/>
      <c r="T5" s="94"/>
      <c r="U5" s="93"/>
      <c r="V5" s="93"/>
      <c r="W5" s="93"/>
      <c r="X5" s="93"/>
      <c r="Y5" s="93"/>
      <c r="Z5" s="93"/>
      <c r="AA5" s="93"/>
      <c r="AZ5" s="19"/>
      <c r="BA5" s="19"/>
      <c r="BB5" s="19"/>
      <c r="BC5" s="19"/>
      <c r="BD5" s="19"/>
      <c r="BE5" s="19"/>
      <c r="BF5" s="19"/>
      <c r="BG5" s="19"/>
      <c r="BH5" s="40"/>
    </row>
    <row r="6" spans="1:70" ht="12">
      <c r="A6" s="12"/>
      <c r="B6" s="12"/>
      <c r="C6" s="12"/>
      <c r="D6" s="12"/>
      <c r="E6" s="12"/>
      <c r="F6" s="12"/>
      <c r="G6" s="12"/>
      <c r="H6" s="12"/>
      <c r="I6" s="12"/>
      <c r="K6" s="92"/>
      <c r="L6" s="92"/>
      <c r="M6" s="92"/>
      <c r="N6" s="92"/>
      <c r="O6" s="92"/>
      <c r="P6" s="92"/>
      <c r="Q6" s="92" t="s">
        <v>106</v>
      </c>
      <c r="R6" s="92"/>
      <c r="S6" s="19"/>
      <c r="T6" s="12"/>
      <c r="U6" s="19"/>
      <c r="V6" s="19"/>
      <c r="W6" s="19"/>
      <c r="X6" s="19"/>
      <c r="Y6" s="19"/>
      <c r="Z6" s="19"/>
      <c r="AA6" s="19"/>
      <c r="AZ6" s="19"/>
      <c r="BA6" s="19"/>
      <c r="BB6" s="19"/>
      <c r="BC6" s="19"/>
      <c r="BD6" s="19"/>
      <c r="BE6" s="19"/>
      <c r="BF6" s="19"/>
      <c r="BG6" s="19"/>
      <c r="BH6" s="40"/>
    </row>
    <row r="7" spans="1:70" s="36" customFormat="1" ht="15" customHeight="1">
      <c r="J7" s="92" t="s">
        <v>105</v>
      </c>
      <c r="K7" s="92"/>
      <c r="L7" s="92"/>
      <c r="M7" s="92"/>
      <c r="N7" s="92"/>
      <c r="O7" s="92"/>
      <c r="P7" s="92"/>
      <c r="Q7" s="92" t="s">
        <v>104</v>
      </c>
      <c r="R7" s="92"/>
      <c r="S7" s="92"/>
      <c r="U7" s="92"/>
      <c r="Z7" s="92"/>
      <c r="AZ7" s="92"/>
      <c r="BA7" s="92"/>
      <c r="BB7" s="92"/>
      <c r="BC7" s="92"/>
      <c r="BD7" s="92"/>
      <c r="BE7" s="92"/>
      <c r="BF7" s="92"/>
      <c r="BG7" s="92"/>
      <c r="BH7" s="91"/>
      <c r="BJ7" s="92"/>
      <c r="BK7" s="92"/>
      <c r="BL7" s="92"/>
      <c r="BM7" s="92"/>
      <c r="BN7" s="92"/>
      <c r="BO7" s="92"/>
      <c r="BP7" s="92"/>
      <c r="BQ7" s="92"/>
      <c r="BR7" s="91"/>
    </row>
    <row r="8" spans="1:70" s="36" customFormat="1" ht="15" customHeight="1">
      <c r="J8" s="92" t="s">
        <v>103</v>
      </c>
      <c r="K8" s="92"/>
      <c r="L8" s="92"/>
      <c r="M8" s="92"/>
      <c r="N8" s="92"/>
      <c r="O8" s="92"/>
      <c r="P8" s="92"/>
      <c r="Q8" s="92" t="s">
        <v>102</v>
      </c>
      <c r="R8" s="92"/>
      <c r="S8" s="92"/>
      <c r="U8" s="92" t="s">
        <v>101</v>
      </c>
      <c r="V8" s="91" t="s">
        <v>100</v>
      </c>
      <c r="W8" s="92"/>
      <c r="X8" s="92"/>
      <c r="Y8" s="92"/>
      <c r="Z8" s="92"/>
      <c r="AA8" s="91" t="s">
        <v>99</v>
      </c>
      <c r="AZ8" s="92"/>
      <c r="BA8" s="92"/>
      <c r="BB8" s="92"/>
      <c r="BC8" s="92"/>
      <c r="BD8" s="92"/>
      <c r="BE8" s="92"/>
      <c r="BF8" s="92"/>
      <c r="BG8" s="92"/>
      <c r="BH8" s="91"/>
      <c r="BJ8" s="92"/>
      <c r="BK8" s="92"/>
      <c r="BL8" s="92"/>
      <c r="BM8" s="92"/>
      <c r="BN8" s="92"/>
      <c r="BO8" s="92"/>
      <c r="BP8" s="92"/>
      <c r="BQ8" s="92"/>
      <c r="BR8" s="91"/>
    </row>
    <row r="9" spans="1:70" s="36" customFormat="1" ht="15" customHeight="1">
      <c r="J9" s="92" t="s">
        <v>98</v>
      </c>
      <c r="K9" s="92"/>
      <c r="L9" s="36" t="s">
        <v>97</v>
      </c>
      <c r="M9" s="92"/>
      <c r="N9" s="92" t="s">
        <v>96</v>
      </c>
      <c r="O9" s="36" t="s">
        <v>95</v>
      </c>
      <c r="P9" s="92" t="s">
        <v>94</v>
      </c>
      <c r="Q9" s="92" t="s">
        <v>93</v>
      </c>
      <c r="R9" s="92"/>
      <c r="U9" s="36" t="s">
        <v>82</v>
      </c>
      <c r="V9" s="91" t="s">
        <v>92</v>
      </c>
      <c r="W9" s="36" t="s">
        <v>91</v>
      </c>
      <c r="X9" s="36" t="s">
        <v>91</v>
      </c>
      <c r="Z9" s="90" t="s">
        <v>90</v>
      </c>
      <c r="AA9" s="88" t="s">
        <v>89</v>
      </c>
      <c r="AZ9" s="92"/>
      <c r="BA9" s="92"/>
      <c r="BB9" s="92"/>
      <c r="BC9" s="92"/>
      <c r="BD9" s="92"/>
      <c r="BE9" s="92"/>
      <c r="BF9" s="92"/>
      <c r="BG9" s="92"/>
      <c r="BH9" s="91"/>
      <c r="BJ9" s="92"/>
      <c r="BK9" s="92"/>
      <c r="BL9" s="92"/>
      <c r="BM9" s="92"/>
      <c r="BN9" s="92"/>
      <c r="BO9" s="92"/>
      <c r="BP9" s="92"/>
      <c r="BQ9" s="92"/>
      <c r="BR9" s="91"/>
    </row>
    <row r="10" spans="1:70" s="36" customFormat="1" ht="15" customHeight="1">
      <c r="A10" s="36" t="s">
        <v>88</v>
      </c>
      <c r="B10" s="36" t="s">
        <v>87</v>
      </c>
      <c r="E10" s="36" t="s">
        <v>86</v>
      </c>
      <c r="H10" s="88" t="s">
        <v>77</v>
      </c>
      <c r="J10" s="92" t="s">
        <v>85</v>
      </c>
      <c r="K10" s="36" t="s">
        <v>84</v>
      </c>
      <c r="L10" s="36" t="s">
        <v>83</v>
      </c>
      <c r="M10" s="36" t="s">
        <v>82</v>
      </c>
      <c r="N10" s="36" t="s">
        <v>81</v>
      </c>
      <c r="O10" s="36" t="s">
        <v>80</v>
      </c>
      <c r="P10" s="36" t="s">
        <v>79</v>
      </c>
      <c r="Q10" s="36" t="s">
        <v>78</v>
      </c>
      <c r="S10" s="88" t="s">
        <v>77</v>
      </c>
      <c r="T10" s="37"/>
      <c r="U10" s="36" t="s">
        <v>76</v>
      </c>
      <c r="V10" s="88" t="s">
        <v>71</v>
      </c>
      <c r="W10" s="36" t="s">
        <v>75</v>
      </c>
      <c r="X10" s="36" t="s">
        <v>74</v>
      </c>
      <c r="Y10" s="36" t="s">
        <v>73</v>
      </c>
      <c r="Z10" s="90" t="s">
        <v>72</v>
      </c>
      <c r="AA10" s="88" t="s">
        <v>71</v>
      </c>
      <c r="AZ10" s="92"/>
      <c r="BA10" s="92"/>
      <c r="BB10" s="92"/>
      <c r="BC10" s="92"/>
      <c r="BD10" s="92"/>
      <c r="BE10" s="92"/>
      <c r="BF10" s="92"/>
      <c r="BG10" s="92"/>
      <c r="BH10" s="91"/>
      <c r="BJ10" s="92"/>
      <c r="BK10" s="92"/>
      <c r="BL10" s="92"/>
      <c r="BM10" s="92"/>
      <c r="BN10" s="92"/>
      <c r="BO10" s="92"/>
      <c r="BP10" s="92"/>
      <c r="BQ10" s="92"/>
      <c r="BR10" s="91"/>
    </row>
    <row r="11" spans="1:70" s="36" customFormat="1" ht="18.75" customHeight="1">
      <c r="B11" s="36" t="s">
        <v>70</v>
      </c>
      <c r="C11" s="36" t="s">
        <v>69</v>
      </c>
      <c r="D11" s="36" t="s">
        <v>68</v>
      </c>
      <c r="E11" s="36" t="s">
        <v>67</v>
      </c>
      <c r="F11" s="37" t="s">
        <v>66</v>
      </c>
      <c r="H11" s="88" t="s">
        <v>65</v>
      </c>
      <c r="I11" s="37"/>
      <c r="J11" s="36" t="s">
        <v>64</v>
      </c>
      <c r="K11" s="37" t="s">
        <v>63</v>
      </c>
      <c r="L11" s="37" t="s">
        <v>62</v>
      </c>
      <c r="M11" s="37" t="s">
        <v>61</v>
      </c>
      <c r="N11" s="36" t="s">
        <v>60</v>
      </c>
      <c r="O11" s="37" t="s">
        <v>59</v>
      </c>
      <c r="P11" s="36" t="s">
        <v>58</v>
      </c>
      <c r="Q11" s="36" t="s">
        <v>57</v>
      </c>
      <c r="S11" s="88" t="s">
        <v>56</v>
      </c>
      <c r="U11" s="37" t="s">
        <v>55</v>
      </c>
      <c r="V11" s="88" t="s">
        <v>54</v>
      </c>
      <c r="W11" s="36" t="s">
        <v>53</v>
      </c>
      <c r="X11" s="36" t="s">
        <v>52</v>
      </c>
      <c r="Z11" s="37" t="s">
        <v>51</v>
      </c>
      <c r="AA11" s="88" t="s">
        <v>50</v>
      </c>
      <c r="AN11" s="88"/>
      <c r="AW11" s="88"/>
      <c r="BH11" s="88"/>
      <c r="BR11" s="88"/>
    </row>
    <row r="12" spans="1:70" s="36" customFormat="1" ht="15" customHeight="1">
      <c r="B12" s="37" t="s">
        <v>49</v>
      </c>
      <c r="C12" s="37" t="s">
        <v>48</v>
      </c>
      <c r="D12" s="37" t="s">
        <v>47</v>
      </c>
      <c r="E12" s="37" t="s">
        <v>46</v>
      </c>
      <c r="G12" s="37"/>
      <c r="H12" s="83" t="s">
        <v>45</v>
      </c>
      <c r="J12" s="36" t="s">
        <v>44</v>
      </c>
      <c r="N12" s="37" t="s">
        <v>43</v>
      </c>
      <c r="O12" s="37" t="s">
        <v>42</v>
      </c>
      <c r="P12" s="37" t="s">
        <v>41</v>
      </c>
      <c r="Q12" s="36" t="s">
        <v>40</v>
      </c>
      <c r="R12" s="37"/>
      <c r="S12" s="83" t="s">
        <v>39</v>
      </c>
      <c r="U12" s="36" t="s">
        <v>38</v>
      </c>
      <c r="V12" s="83" t="s">
        <v>37</v>
      </c>
      <c r="Z12" s="90" t="s">
        <v>36</v>
      </c>
      <c r="AA12" s="83" t="s">
        <v>35</v>
      </c>
      <c r="AN12" s="88"/>
      <c r="AW12" s="88"/>
      <c r="BH12" s="88"/>
      <c r="BR12" s="88"/>
    </row>
    <row r="13" spans="1:70" s="36" customFormat="1" ht="15" customHeight="1">
      <c r="A13" s="79"/>
      <c r="B13" s="76"/>
      <c r="C13" s="76"/>
      <c r="D13" s="76"/>
      <c r="E13" s="76"/>
      <c r="F13" s="76"/>
      <c r="G13" s="76"/>
      <c r="H13" s="89" t="s">
        <v>34</v>
      </c>
      <c r="I13" s="76"/>
      <c r="J13" s="79"/>
      <c r="K13" s="79"/>
      <c r="L13" s="79"/>
      <c r="M13" s="79"/>
      <c r="N13" s="79"/>
      <c r="O13" s="79"/>
      <c r="P13" s="79"/>
      <c r="Q13" s="79"/>
      <c r="R13" s="79"/>
      <c r="S13" s="89" t="s">
        <v>33</v>
      </c>
      <c r="T13" s="79"/>
      <c r="U13" s="76"/>
      <c r="V13" s="89" t="s">
        <v>32</v>
      </c>
      <c r="W13" s="89" t="s">
        <v>31</v>
      </c>
      <c r="X13" s="89" t="s">
        <v>30</v>
      </c>
      <c r="Y13" s="89" t="s">
        <v>29</v>
      </c>
      <c r="Z13" s="89" t="s">
        <v>28</v>
      </c>
      <c r="AA13" s="89" t="s">
        <v>27</v>
      </c>
      <c r="AG13" s="37"/>
      <c r="AH13" s="37"/>
      <c r="AI13" s="37"/>
      <c r="AJ13" s="37"/>
      <c r="AK13" s="37"/>
      <c r="AL13" s="37"/>
      <c r="AM13" s="37"/>
      <c r="AN13" s="83"/>
      <c r="AP13" s="37"/>
      <c r="AQ13" s="37"/>
      <c r="AR13" s="37"/>
      <c r="AS13" s="37"/>
      <c r="AT13" s="37"/>
      <c r="AU13" s="37"/>
      <c r="AV13" s="37"/>
      <c r="AW13" s="83"/>
      <c r="AY13" s="88"/>
      <c r="AZ13" s="37"/>
      <c r="BA13" s="37"/>
      <c r="BB13" s="37"/>
      <c r="BC13" s="37"/>
      <c r="BD13" s="37"/>
      <c r="BE13" s="37"/>
      <c r="BF13" s="37"/>
      <c r="BG13" s="37"/>
      <c r="BH13" s="83"/>
      <c r="BJ13" s="37"/>
      <c r="BK13" s="37"/>
      <c r="BL13" s="37"/>
      <c r="BM13" s="37"/>
      <c r="BN13" s="37"/>
      <c r="BO13" s="37"/>
      <c r="BP13" s="37"/>
      <c r="BQ13" s="37"/>
      <c r="BR13" s="83"/>
    </row>
    <row r="14" spans="1:70" s="36" customFormat="1" ht="15" customHeight="1">
      <c r="B14" s="37"/>
      <c r="C14" s="37"/>
      <c r="D14" s="37"/>
      <c r="E14" s="37"/>
      <c r="F14" s="37"/>
      <c r="G14" s="37"/>
      <c r="H14" s="37"/>
      <c r="I14" s="37"/>
      <c r="S14" s="37"/>
      <c r="U14" s="37"/>
      <c r="V14" s="19"/>
      <c r="W14" s="19"/>
      <c r="X14" s="19"/>
      <c r="Y14" s="19"/>
      <c r="Z14" s="19"/>
      <c r="AA14" s="19"/>
      <c r="AB14" s="87"/>
    </row>
    <row r="15" spans="1:70" s="36" customFormat="1" ht="15" customHeight="1">
      <c r="A15" s="17">
        <v>1980</v>
      </c>
      <c r="B15" s="34">
        <v>9660.1126383474784</v>
      </c>
      <c r="C15" s="34">
        <v>2588.4852829240326</v>
      </c>
      <c r="D15" s="34">
        <v>38587.672788879965</v>
      </c>
      <c r="E15" s="34">
        <v>2698.7015034921801</v>
      </c>
      <c r="F15" s="34">
        <v>16149.068744106738</v>
      </c>
      <c r="G15" s="37"/>
      <c r="H15" s="34">
        <v>69684.040957750389</v>
      </c>
      <c r="I15" s="37"/>
      <c r="J15" s="34">
        <v>29445.947606344354</v>
      </c>
      <c r="K15" s="34">
        <v>5792.4500087899924</v>
      </c>
      <c r="L15" s="34">
        <v>10331.669442218372</v>
      </c>
      <c r="M15" s="34">
        <v>7401.6415668457357</v>
      </c>
      <c r="N15" s="34">
        <v>26992.941374588954</v>
      </c>
      <c r="O15" s="34">
        <v>10664.47830547149</v>
      </c>
      <c r="P15" s="34">
        <v>12753.378576856185</v>
      </c>
      <c r="Q15" s="34">
        <v>9487.1516691211491</v>
      </c>
      <c r="R15" s="83"/>
      <c r="S15" s="34">
        <v>112869.65855023623</v>
      </c>
      <c r="U15" s="42">
        <v>4893.7678374727711</v>
      </c>
      <c r="V15" s="34">
        <v>177659.93167051385</v>
      </c>
      <c r="W15" s="82"/>
      <c r="X15" s="82"/>
      <c r="Y15" s="82"/>
      <c r="Z15" s="34">
        <v>23261.98506345637</v>
      </c>
      <c r="AA15" s="33">
        <v>200921.91673397023</v>
      </c>
      <c r="AB15" s="32"/>
      <c r="AC15" s="44"/>
      <c r="AD15" s="44"/>
    </row>
    <row r="16" spans="1:70" s="36" customFormat="1" ht="15" customHeight="1">
      <c r="A16" s="17" t="s">
        <v>26</v>
      </c>
      <c r="B16" s="38">
        <v>10257.440202537216</v>
      </c>
      <c r="C16" s="38">
        <v>2535.1856267628204</v>
      </c>
      <c r="D16" s="38">
        <v>34745.981667492786</v>
      </c>
      <c r="E16" s="38">
        <v>2481.1491511578288</v>
      </c>
      <c r="F16" s="38">
        <v>15627.032876631991</v>
      </c>
      <c r="G16" s="37"/>
      <c r="H16" s="34">
        <v>65646.789524582637</v>
      </c>
      <c r="I16" s="37"/>
      <c r="J16" s="38">
        <v>27525.185549687067</v>
      </c>
      <c r="K16" s="38">
        <v>6745.2135247062852</v>
      </c>
      <c r="L16" s="38">
        <v>9617.2095523978951</v>
      </c>
      <c r="M16" s="38">
        <v>7292.0061649182444</v>
      </c>
      <c r="N16" s="38">
        <v>24734.642625937529</v>
      </c>
      <c r="O16" s="38">
        <v>10287.781676402305</v>
      </c>
      <c r="P16" s="38">
        <v>9106.3271841927526</v>
      </c>
      <c r="Q16" s="38">
        <v>9143.2653747301829</v>
      </c>
      <c r="R16" s="37"/>
      <c r="S16" s="34">
        <v>104451.63165297225</v>
      </c>
      <c r="U16" s="35">
        <v>4671.8089266585184</v>
      </c>
      <c r="V16" s="34">
        <v>165426.61225089635</v>
      </c>
      <c r="W16" s="81"/>
      <c r="X16" s="81"/>
      <c r="Y16" s="81"/>
      <c r="Z16" s="31">
        <v>22259.970914388923</v>
      </c>
      <c r="AA16" s="33">
        <v>187686.58316528526</v>
      </c>
      <c r="AB16" s="32"/>
      <c r="AC16" s="31"/>
      <c r="AD16" s="44"/>
    </row>
    <row r="17" spans="1:30" s="36" customFormat="1" ht="15" customHeight="1">
      <c r="A17" s="17" t="s">
        <v>25</v>
      </c>
      <c r="B17" s="38">
        <v>8302.7960796751486</v>
      </c>
      <c r="C17" s="38">
        <v>2534.1224130238584</v>
      </c>
      <c r="D17" s="38">
        <v>40173.050489733083</v>
      </c>
      <c r="E17" s="38">
        <v>2709.0955328896939</v>
      </c>
      <c r="F17" s="38">
        <v>16400.147392446321</v>
      </c>
      <c r="G17" s="37"/>
      <c r="H17" s="34">
        <v>70119.211907768098</v>
      </c>
      <c r="I17" s="37"/>
      <c r="J17" s="38">
        <v>28884.104714036646</v>
      </c>
      <c r="K17" s="38">
        <v>5113.3445174790577</v>
      </c>
      <c r="L17" s="38">
        <v>10468.526952390841</v>
      </c>
      <c r="M17" s="38">
        <v>7215.8374551306733</v>
      </c>
      <c r="N17" s="38">
        <v>26970.563710615297</v>
      </c>
      <c r="O17" s="38">
        <v>10512.452125685457</v>
      </c>
      <c r="P17" s="38">
        <v>14241.113169892695</v>
      </c>
      <c r="Q17" s="38">
        <v>9427.837150010917</v>
      </c>
      <c r="R17" s="37"/>
      <c r="S17" s="34">
        <v>112833.7797952416</v>
      </c>
      <c r="U17" s="35">
        <v>4599.5178680096651</v>
      </c>
      <c r="V17" s="34">
        <v>178353.47383500004</v>
      </c>
      <c r="W17" s="81"/>
      <c r="X17" s="81"/>
      <c r="Y17" s="81"/>
      <c r="Z17" s="31">
        <v>21430.699929187562</v>
      </c>
      <c r="AA17" s="33">
        <v>199784.17376418761</v>
      </c>
      <c r="AB17" s="32"/>
      <c r="AC17" s="31"/>
      <c r="AD17" s="44"/>
    </row>
    <row r="18" spans="1:30" s="36" customFormat="1" ht="15" customHeight="1">
      <c r="A18" s="17" t="s">
        <v>24</v>
      </c>
      <c r="B18" s="38">
        <v>9900.8890388720556</v>
      </c>
      <c r="C18" s="38">
        <v>2609.8913165927661</v>
      </c>
      <c r="D18" s="38">
        <v>40502.082095826634</v>
      </c>
      <c r="E18" s="38">
        <v>2957.3376351031097</v>
      </c>
      <c r="F18" s="38">
        <v>16788.284744628956</v>
      </c>
      <c r="G18" s="37"/>
      <c r="H18" s="34">
        <v>72758.484831023525</v>
      </c>
      <c r="I18" s="37"/>
      <c r="J18" s="38">
        <v>29850.649517202059</v>
      </c>
      <c r="K18" s="38">
        <v>5704.251330764243</v>
      </c>
      <c r="L18" s="38">
        <v>10667.252634628219</v>
      </c>
      <c r="M18" s="38">
        <v>7467.353435495942</v>
      </c>
      <c r="N18" s="38">
        <v>27662.061587632084</v>
      </c>
      <c r="O18" s="38">
        <v>10847.675511184239</v>
      </c>
      <c r="P18" s="38">
        <v>14599.087928327666</v>
      </c>
      <c r="Q18" s="38">
        <v>9832.0282073373473</v>
      </c>
      <c r="R18" s="37"/>
      <c r="S18" s="34">
        <v>116630.3601525718</v>
      </c>
      <c r="U18" s="35">
        <v>5018.6410363414361</v>
      </c>
      <c r="V18" s="34">
        <v>184370.20394725387</v>
      </c>
      <c r="W18" s="81"/>
      <c r="X18" s="81"/>
      <c r="Y18" s="81"/>
      <c r="Z18" s="31">
        <v>23786.287332897587</v>
      </c>
      <c r="AA18" s="33">
        <v>208156.49128015147</v>
      </c>
      <c r="AB18" s="32"/>
      <c r="AC18" s="31"/>
      <c r="AD18" s="44"/>
    </row>
    <row r="19" spans="1:30" s="36" customFormat="1" ht="15" customHeight="1">
      <c r="A19" s="17" t="s">
        <v>23</v>
      </c>
      <c r="B19" s="38">
        <v>10179.325232305489</v>
      </c>
      <c r="C19" s="38">
        <v>2674.7417753166865</v>
      </c>
      <c r="D19" s="38">
        <v>38929.576902467365</v>
      </c>
      <c r="E19" s="38">
        <v>2647.2236948180889</v>
      </c>
      <c r="F19" s="38">
        <v>15780.809962719683</v>
      </c>
      <c r="G19" s="37"/>
      <c r="H19" s="34">
        <v>70211.67756762731</v>
      </c>
      <c r="I19" s="37"/>
      <c r="J19" s="38">
        <v>31523.850644451635</v>
      </c>
      <c r="K19" s="38">
        <v>5606.9906622103827</v>
      </c>
      <c r="L19" s="38">
        <v>10573.688629456534</v>
      </c>
      <c r="M19" s="38">
        <v>7631.3692118380832</v>
      </c>
      <c r="N19" s="38">
        <v>28604.497574170913</v>
      </c>
      <c r="O19" s="38">
        <v>11010.003908613957</v>
      </c>
      <c r="P19" s="38">
        <v>13066.986025011625</v>
      </c>
      <c r="Q19" s="38">
        <v>9545.475944406151</v>
      </c>
      <c r="R19" s="37"/>
      <c r="S19" s="34">
        <v>117562.86260015928</v>
      </c>
      <c r="U19" s="35">
        <v>5285.1035188814658</v>
      </c>
      <c r="V19" s="34">
        <v>182489.43664890513</v>
      </c>
      <c r="W19" s="81"/>
      <c r="X19" s="81"/>
      <c r="Y19" s="81"/>
      <c r="Z19" s="31">
        <v>25570.982077351407</v>
      </c>
      <c r="AA19" s="33">
        <v>208060.41872625652</v>
      </c>
      <c r="AB19" s="32"/>
      <c r="AC19" s="31"/>
      <c r="AD19" s="44"/>
    </row>
    <row r="20" spans="1:30" s="36" customFormat="1" ht="15" customHeight="1">
      <c r="A20" s="55"/>
      <c r="B20" s="76"/>
      <c r="C20" s="76"/>
      <c r="D20" s="76"/>
      <c r="E20" s="76"/>
      <c r="F20" s="76"/>
      <c r="G20" s="76"/>
      <c r="H20" s="78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8"/>
      <c r="T20" s="79"/>
      <c r="U20" s="76"/>
      <c r="V20" s="78"/>
      <c r="W20" s="77"/>
      <c r="X20" s="77"/>
      <c r="Y20" s="77"/>
      <c r="Z20" s="76"/>
      <c r="AA20" s="75"/>
      <c r="AB20" s="32"/>
      <c r="AC20" s="44"/>
      <c r="AD20" s="44"/>
    </row>
    <row r="21" spans="1:30" s="36" customFormat="1" ht="15" customHeight="1">
      <c r="A21" s="17"/>
      <c r="B21" s="37"/>
      <c r="C21" s="37"/>
      <c r="D21" s="37"/>
      <c r="E21" s="37"/>
      <c r="F21" s="37"/>
      <c r="G21" s="37"/>
      <c r="H21" s="83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83"/>
      <c r="U21" s="37"/>
      <c r="V21" s="83"/>
      <c r="W21" s="85"/>
      <c r="X21" s="85"/>
      <c r="Y21" s="85"/>
      <c r="Z21" s="37"/>
      <c r="AA21" s="84"/>
      <c r="AB21" s="32"/>
      <c r="AC21" s="44"/>
      <c r="AD21" s="44"/>
    </row>
    <row r="22" spans="1:30" s="36" customFormat="1" ht="15" customHeight="1">
      <c r="A22" s="17">
        <v>1981</v>
      </c>
      <c r="B22" s="34">
        <v>9997.6469919502269</v>
      </c>
      <c r="C22" s="34">
        <v>2528.1355041579482</v>
      </c>
      <c r="D22" s="34">
        <v>33929.813359178675</v>
      </c>
      <c r="E22" s="34">
        <v>2728.2533689372231</v>
      </c>
      <c r="F22" s="34">
        <v>14228.778431170454</v>
      </c>
      <c r="G22" s="37"/>
      <c r="H22" s="34">
        <v>63412.627655394528</v>
      </c>
      <c r="I22" s="37"/>
      <c r="J22" s="34">
        <v>26343.258080775238</v>
      </c>
      <c r="K22" s="34">
        <v>5303.3477823904104</v>
      </c>
      <c r="L22" s="34">
        <v>9759.3676925492109</v>
      </c>
      <c r="M22" s="34">
        <v>8374.5573465306206</v>
      </c>
      <c r="N22" s="34">
        <v>26903.778790375622</v>
      </c>
      <c r="O22" s="34">
        <v>10969.648809314456</v>
      </c>
      <c r="P22" s="34">
        <v>13604.697126413752</v>
      </c>
      <c r="Q22" s="34">
        <v>9000.0829434596853</v>
      </c>
      <c r="R22" s="83"/>
      <c r="S22" s="34">
        <v>110258.73857180899</v>
      </c>
      <c r="U22" s="42">
        <v>5188.6179307062657</v>
      </c>
      <c r="V22" s="34">
        <v>168482.74829649724</v>
      </c>
      <c r="W22" s="82"/>
      <c r="X22" s="82"/>
      <c r="Y22" s="82"/>
      <c r="Z22" s="34">
        <v>22011.74462282515</v>
      </c>
      <c r="AA22" s="33">
        <v>190494.49291932239</v>
      </c>
      <c r="AB22" s="32"/>
      <c r="AC22" s="44"/>
      <c r="AD22" s="44"/>
    </row>
    <row r="23" spans="1:30" s="36" customFormat="1" ht="15" customHeight="1">
      <c r="A23" s="17" t="s">
        <v>26</v>
      </c>
      <c r="B23" s="38">
        <v>10513.477138390999</v>
      </c>
      <c r="C23" s="38">
        <v>2516.2817813784623</v>
      </c>
      <c r="D23" s="38">
        <v>32393.793203670419</v>
      </c>
      <c r="E23" s="38">
        <v>2565.9421129480115</v>
      </c>
      <c r="F23" s="38">
        <v>14314.896803227701</v>
      </c>
      <c r="G23" s="37"/>
      <c r="H23" s="34">
        <v>62304.391039615584</v>
      </c>
      <c r="I23" s="37"/>
      <c r="J23" s="38">
        <v>27755.049569123305</v>
      </c>
      <c r="K23" s="38">
        <v>5951.5578539904964</v>
      </c>
      <c r="L23" s="38">
        <v>9409.4875975135401</v>
      </c>
      <c r="M23" s="38">
        <v>8484.5012728622551</v>
      </c>
      <c r="N23" s="38">
        <v>24945.104422850814</v>
      </c>
      <c r="O23" s="38">
        <v>10880.996010904482</v>
      </c>
      <c r="P23" s="38">
        <v>9849.8522062350094</v>
      </c>
      <c r="Q23" s="38">
        <v>8976.1675757445937</v>
      </c>
      <c r="R23" s="37"/>
      <c r="S23" s="34">
        <v>106252.71650922448</v>
      </c>
      <c r="U23" s="35">
        <v>5435.9513570534609</v>
      </c>
      <c r="V23" s="34">
        <v>163121.15619178661</v>
      </c>
      <c r="W23" s="81"/>
      <c r="X23" s="81"/>
      <c r="Y23" s="81"/>
      <c r="Z23" s="31">
        <v>22056.58070153281</v>
      </c>
      <c r="AA23" s="33">
        <v>185177.73689331941</v>
      </c>
      <c r="AB23" s="32"/>
      <c r="AC23" s="31"/>
      <c r="AD23" s="44"/>
    </row>
    <row r="24" spans="1:30" s="36" customFormat="1" ht="15" customHeight="1">
      <c r="A24" s="17" t="s">
        <v>25</v>
      </c>
      <c r="B24" s="38">
        <v>9402.5269875014528</v>
      </c>
      <c r="C24" s="38">
        <v>2522.6959712989978</v>
      </c>
      <c r="D24" s="38">
        <v>35813.306244654596</v>
      </c>
      <c r="E24" s="38">
        <v>2786.0192104712132</v>
      </c>
      <c r="F24" s="38">
        <v>14035.501361113333</v>
      </c>
      <c r="G24" s="37"/>
      <c r="H24" s="34">
        <v>64560.049775039588</v>
      </c>
      <c r="I24" s="37"/>
      <c r="J24" s="38">
        <v>28102.26353886897</v>
      </c>
      <c r="K24" s="38">
        <v>4697.242614134494</v>
      </c>
      <c r="L24" s="38">
        <v>9942.5701674597112</v>
      </c>
      <c r="M24" s="38">
        <v>8221.1525271615901</v>
      </c>
      <c r="N24" s="38">
        <v>27522.4281689788</v>
      </c>
      <c r="O24" s="38">
        <v>11032.422246433769</v>
      </c>
      <c r="P24" s="38">
        <v>15310.432024694888</v>
      </c>
      <c r="Q24" s="38">
        <v>9160.41440561733</v>
      </c>
      <c r="R24" s="37"/>
      <c r="S24" s="34">
        <v>113988.92569334955</v>
      </c>
      <c r="U24" s="35">
        <v>5156.769768985685</v>
      </c>
      <c r="V24" s="34">
        <v>173392.20569940345</v>
      </c>
      <c r="W24" s="81"/>
      <c r="X24" s="81"/>
      <c r="Y24" s="81"/>
      <c r="Z24" s="31">
        <v>20881.399884464456</v>
      </c>
      <c r="AA24" s="33">
        <v>194273.6055838679</v>
      </c>
      <c r="AB24" s="32"/>
      <c r="AC24" s="31"/>
      <c r="AD24" s="44"/>
    </row>
    <row r="25" spans="1:30" s="36" customFormat="1" ht="15" customHeight="1">
      <c r="A25" s="17" t="s">
        <v>24</v>
      </c>
      <c r="B25" s="38">
        <v>9823.3417707359331</v>
      </c>
      <c r="C25" s="38">
        <v>2531.0765329053465</v>
      </c>
      <c r="D25" s="38">
        <v>33671.639380532157</v>
      </c>
      <c r="E25" s="38">
        <v>2870.2305584400765</v>
      </c>
      <c r="F25" s="38">
        <v>14669.356121104996</v>
      </c>
      <c r="G25" s="37"/>
      <c r="H25" s="34">
        <v>63565.644363718508</v>
      </c>
      <c r="I25" s="37"/>
      <c r="J25" s="38">
        <v>24682.771346587819</v>
      </c>
      <c r="K25" s="38">
        <v>5192.2753984034653</v>
      </c>
      <c r="L25" s="38">
        <v>9809.0983656587705</v>
      </c>
      <c r="M25" s="38">
        <v>8007.8267248410766</v>
      </c>
      <c r="N25" s="38">
        <v>27506.495701875301</v>
      </c>
      <c r="O25" s="38">
        <v>11087.679211596995</v>
      </c>
      <c r="P25" s="38">
        <v>15588.224786663493</v>
      </c>
      <c r="Q25" s="38">
        <v>9022.425650816318</v>
      </c>
      <c r="R25" s="37"/>
      <c r="S25" s="34">
        <v>110896.79718644323</v>
      </c>
      <c r="U25" s="35">
        <v>4974.7908804395129</v>
      </c>
      <c r="V25" s="34">
        <v>169487.65066972224</v>
      </c>
      <c r="W25" s="81"/>
      <c r="X25" s="81"/>
      <c r="Y25" s="81"/>
      <c r="Z25" s="31">
        <v>21719.157178742869</v>
      </c>
      <c r="AA25" s="33">
        <v>191206.80784846511</v>
      </c>
      <c r="AB25" s="32"/>
      <c r="AC25" s="31"/>
      <c r="AD25" s="44"/>
    </row>
    <row r="26" spans="1:30" s="36" customFormat="1" ht="15" customHeight="1">
      <c r="A26" s="17" t="s">
        <v>23</v>
      </c>
      <c r="B26" s="38">
        <v>10251.242071172517</v>
      </c>
      <c r="C26" s="38">
        <v>2542.4877310489856</v>
      </c>
      <c r="D26" s="38">
        <v>33840.514607857534</v>
      </c>
      <c r="E26" s="38">
        <v>2690.8215938895914</v>
      </c>
      <c r="F26" s="38">
        <v>13895.359439235786</v>
      </c>
      <c r="G26" s="37"/>
      <c r="H26" s="34">
        <v>63220.425443204411</v>
      </c>
      <c r="I26" s="37"/>
      <c r="J26" s="38">
        <v>24832.94786852086</v>
      </c>
      <c r="K26" s="38">
        <v>5372.315263033187</v>
      </c>
      <c r="L26" s="38">
        <v>9876.3146395648218</v>
      </c>
      <c r="M26" s="38">
        <v>8784.7488612575598</v>
      </c>
      <c r="N26" s="38">
        <v>27641.086867797563</v>
      </c>
      <c r="O26" s="38">
        <v>10877.497768322582</v>
      </c>
      <c r="P26" s="38">
        <v>13670.27948806162</v>
      </c>
      <c r="Q26" s="38">
        <v>8841.3241416605033</v>
      </c>
      <c r="R26" s="37"/>
      <c r="S26" s="34">
        <v>109896.51489821871</v>
      </c>
      <c r="U26" s="35">
        <v>5186.9597163464059</v>
      </c>
      <c r="V26" s="34">
        <v>167929.98062507671</v>
      </c>
      <c r="W26" s="81"/>
      <c r="X26" s="81"/>
      <c r="Y26" s="81"/>
      <c r="Z26" s="31">
        <v>23389.840726560466</v>
      </c>
      <c r="AA26" s="33">
        <v>191319.82135163719</v>
      </c>
      <c r="AB26" s="32"/>
      <c r="AC26" s="31"/>
      <c r="AD26" s="44"/>
    </row>
    <row r="27" spans="1:30" s="36" customFormat="1" ht="15" customHeight="1">
      <c r="A27" s="55"/>
      <c r="B27" s="76"/>
      <c r="C27" s="76"/>
      <c r="D27" s="76"/>
      <c r="E27" s="76"/>
      <c r="F27" s="76"/>
      <c r="G27" s="76"/>
      <c r="H27" s="78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8"/>
      <c r="T27" s="79"/>
      <c r="U27" s="76"/>
      <c r="V27" s="78"/>
      <c r="W27" s="77"/>
      <c r="X27" s="77"/>
      <c r="Y27" s="77"/>
      <c r="Z27" s="76"/>
      <c r="AA27" s="75"/>
      <c r="AB27" s="32"/>
      <c r="AC27" s="44"/>
      <c r="AD27" s="44"/>
    </row>
    <row r="28" spans="1:30" s="36" customFormat="1" ht="15" customHeight="1">
      <c r="A28" s="17"/>
      <c r="B28" s="37"/>
      <c r="C28" s="37"/>
      <c r="D28" s="37"/>
      <c r="E28" s="37"/>
      <c r="F28" s="37"/>
      <c r="G28" s="37"/>
      <c r="H28" s="83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83"/>
      <c r="U28" s="37"/>
      <c r="V28" s="83"/>
      <c r="W28" s="85"/>
      <c r="X28" s="85"/>
      <c r="Y28" s="85"/>
      <c r="Z28" s="37"/>
      <c r="AA28" s="84"/>
      <c r="AB28" s="32"/>
      <c r="AC28" s="44"/>
      <c r="AD28" s="44"/>
    </row>
    <row r="29" spans="1:30" s="36" customFormat="1" ht="15" customHeight="1">
      <c r="A29" s="17">
        <v>1982</v>
      </c>
      <c r="B29" s="34">
        <v>10745.293143987743</v>
      </c>
      <c r="C29" s="34">
        <v>2519.6329230205629</v>
      </c>
      <c r="D29" s="34">
        <v>32974.615503913228</v>
      </c>
      <c r="E29" s="34">
        <v>2863.1593911406057</v>
      </c>
      <c r="F29" s="34">
        <v>12897.842705485489</v>
      </c>
      <c r="G29" s="37"/>
      <c r="H29" s="34">
        <v>62000.54366754763</v>
      </c>
      <c r="I29" s="37"/>
      <c r="J29" s="34">
        <v>24642.672347941476</v>
      </c>
      <c r="K29" s="34">
        <v>5751.3405689576384</v>
      </c>
      <c r="L29" s="34">
        <v>10237.775251005061</v>
      </c>
      <c r="M29" s="34">
        <v>7978.7044189239396</v>
      </c>
      <c r="N29" s="34">
        <v>26760.325833157916</v>
      </c>
      <c r="O29" s="34">
        <v>11147.156951360972</v>
      </c>
      <c r="P29" s="34">
        <v>13914.431473008488</v>
      </c>
      <c r="Q29" s="34">
        <v>9109.0949423987004</v>
      </c>
      <c r="R29" s="37"/>
      <c r="S29" s="34">
        <v>109541.50178675419</v>
      </c>
      <c r="U29" s="42">
        <v>4336.0095194546066</v>
      </c>
      <c r="V29" s="34">
        <v>167206.0359348472</v>
      </c>
      <c r="W29" s="82"/>
      <c r="X29" s="82"/>
      <c r="Y29" s="82"/>
      <c r="Z29" s="34">
        <v>21887.066794918748</v>
      </c>
      <c r="AA29" s="33">
        <v>189093.10272976593</v>
      </c>
      <c r="AB29" s="32"/>
      <c r="AC29" s="44"/>
      <c r="AD29" s="44"/>
    </row>
    <row r="30" spans="1:30" s="36" customFormat="1" ht="15" customHeight="1">
      <c r="A30" s="17" t="s">
        <v>26</v>
      </c>
      <c r="B30" s="38">
        <v>10879.617217918945</v>
      </c>
      <c r="C30" s="38">
        <v>2450.2864028574559</v>
      </c>
      <c r="D30" s="38">
        <v>30616.536584310586</v>
      </c>
      <c r="E30" s="38">
        <v>2501.0485035982524</v>
      </c>
      <c r="F30" s="38">
        <v>12433.579529340319</v>
      </c>
      <c r="G30" s="37"/>
      <c r="H30" s="34">
        <v>58881.068238025553</v>
      </c>
      <c r="I30" s="37"/>
      <c r="J30" s="38">
        <v>24517.439560057537</v>
      </c>
      <c r="K30" s="38">
        <v>6736.9194289228599</v>
      </c>
      <c r="L30" s="38">
        <v>9575.9146574865026</v>
      </c>
      <c r="M30" s="38">
        <v>7923.3334867011918</v>
      </c>
      <c r="N30" s="38">
        <v>24852.619064576142</v>
      </c>
      <c r="O30" s="38">
        <v>11098.757776948059</v>
      </c>
      <c r="P30" s="38">
        <v>9909.3801687921659</v>
      </c>
      <c r="Q30" s="38">
        <v>8649.3392045014825</v>
      </c>
      <c r="R30" s="37"/>
      <c r="S30" s="34">
        <v>103263.70334798594</v>
      </c>
      <c r="U30" s="35">
        <v>5161.2636681207096</v>
      </c>
      <c r="V30" s="34">
        <v>156983.50791789076</v>
      </c>
      <c r="W30" s="81"/>
      <c r="X30" s="81"/>
      <c r="Y30" s="81"/>
      <c r="Z30" s="31">
        <v>21240.524236712914</v>
      </c>
      <c r="AA30" s="33">
        <v>178224.03215460369</v>
      </c>
      <c r="AB30" s="32"/>
      <c r="AC30" s="31"/>
      <c r="AD30" s="44"/>
    </row>
    <row r="31" spans="1:30" s="36" customFormat="1" ht="15" customHeight="1">
      <c r="A31" s="17" t="s">
        <v>25</v>
      </c>
      <c r="B31" s="38">
        <v>10163.75957167944</v>
      </c>
      <c r="C31" s="38">
        <v>2561.7020673867673</v>
      </c>
      <c r="D31" s="38">
        <v>32443.343979607929</v>
      </c>
      <c r="E31" s="38">
        <v>2728.7675875869099</v>
      </c>
      <c r="F31" s="38">
        <v>11687.251545789906</v>
      </c>
      <c r="G31" s="37"/>
      <c r="H31" s="34">
        <v>59584.824752050954</v>
      </c>
      <c r="I31" s="37"/>
      <c r="J31" s="38">
        <v>24547.576917639213</v>
      </c>
      <c r="K31" s="38">
        <v>4839.7129672533556</v>
      </c>
      <c r="L31" s="38">
        <v>10280.462563301222</v>
      </c>
      <c r="M31" s="38">
        <v>8181.778051908389</v>
      </c>
      <c r="N31" s="38">
        <v>26773.81000791493</v>
      </c>
      <c r="O31" s="38">
        <v>11125.136266307016</v>
      </c>
      <c r="P31" s="38">
        <v>15439.822061810764</v>
      </c>
      <c r="Q31" s="38">
        <v>8664.7207363049001</v>
      </c>
      <c r="R31" s="37"/>
      <c r="S31" s="34">
        <v>109853.01957243978</v>
      </c>
      <c r="U31" s="35">
        <v>5039.7047574714825</v>
      </c>
      <c r="V31" s="34">
        <v>164398.13956701924</v>
      </c>
      <c r="W31" s="81"/>
      <c r="X31" s="81"/>
      <c r="Y31" s="81"/>
      <c r="Z31" s="31">
        <v>20101.926877699912</v>
      </c>
      <c r="AA31" s="33">
        <v>184500.06644471915</v>
      </c>
      <c r="AB31" s="32"/>
      <c r="AC31" s="31"/>
      <c r="AD31" s="44"/>
    </row>
    <row r="32" spans="1:30" s="36" customFormat="1" ht="15" customHeight="1">
      <c r="A32" s="17" t="s">
        <v>24</v>
      </c>
      <c r="B32" s="38">
        <v>9969.6342568937271</v>
      </c>
      <c r="C32" s="38">
        <v>2594.5605064603806</v>
      </c>
      <c r="D32" s="38">
        <v>34302.945223639384</v>
      </c>
      <c r="E32" s="38">
        <v>3180.6263033393675</v>
      </c>
      <c r="F32" s="38">
        <v>13879.482607605591</v>
      </c>
      <c r="G32" s="37"/>
      <c r="H32" s="34">
        <v>63927.248897938451</v>
      </c>
      <c r="I32" s="37"/>
      <c r="J32" s="38">
        <v>23921.259178448876</v>
      </c>
      <c r="K32" s="38">
        <v>5670.2802982531121</v>
      </c>
      <c r="L32" s="38">
        <v>10346.731160959263</v>
      </c>
      <c r="M32" s="38">
        <v>7613.2366088440203</v>
      </c>
      <c r="N32" s="38">
        <v>27675.154426902609</v>
      </c>
      <c r="O32" s="38">
        <v>11193.515753054386</v>
      </c>
      <c r="P32" s="38">
        <v>15957.422528729272</v>
      </c>
      <c r="Q32" s="38">
        <v>9453.2506658333914</v>
      </c>
      <c r="R32" s="37"/>
      <c r="S32" s="34">
        <v>111830.85062102493</v>
      </c>
      <c r="U32" s="35">
        <v>3549.1270675727719</v>
      </c>
      <c r="V32" s="34">
        <v>172208.97245139058</v>
      </c>
      <c r="W32" s="81"/>
      <c r="X32" s="81"/>
      <c r="Y32" s="81"/>
      <c r="Z32" s="31">
        <v>22071.879063309545</v>
      </c>
      <c r="AA32" s="33">
        <v>194280.85151470013</v>
      </c>
      <c r="AB32" s="32"/>
      <c r="AC32" s="31"/>
      <c r="AD32" s="44"/>
    </row>
    <row r="33" spans="1:30" s="36" customFormat="1" ht="15" customHeight="1">
      <c r="A33" s="17" t="s">
        <v>23</v>
      </c>
      <c r="B33" s="38">
        <v>11968.161529458863</v>
      </c>
      <c r="C33" s="38">
        <v>2471.9827153776487</v>
      </c>
      <c r="D33" s="38">
        <v>34535.636228094998</v>
      </c>
      <c r="E33" s="38">
        <v>3042.1951700378927</v>
      </c>
      <c r="F33" s="38">
        <v>13591.057139206137</v>
      </c>
      <c r="G33" s="37"/>
      <c r="H33" s="34">
        <v>65609.032782175535</v>
      </c>
      <c r="I33" s="37"/>
      <c r="J33" s="38">
        <v>25584.413735620281</v>
      </c>
      <c r="K33" s="38">
        <v>5758.4495814012253</v>
      </c>
      <c r="L33" s="38">
        <v>10747.992622273254</v>
      </c>
      <c r="M33" s="38">
        <v>8196.4695282421562</v>
      </c>
      <c r="N33" s="38">
        <v>27739.719833237992</v>
      </c>
      <c r="O33" s="38">
        <v>11171.218009134429</v>
      </c>
      <c r="P33" s="38">
        <v>14351.101132701748</v>
      </c>
      <c r="Q33" s="38">
        <v>9669.0691629550238</v>
      </c>
      <c r="R33" s="37"/>
      <c r="S33" s="34">
        <v>113218.43360556613</v>
      </c>
      <c r="U33" s="35">
        <v>3593.9425846534614</v>
      </c>
      <c r="V33" s="34">
        <v>175233.5238030882</v>
      </c>
      <c r="W33" s="81"/>
      <c r="X33" s="81"/>
      <c r="Y33" s="81"/>
      <c r="Z33" s="31">
        <v>24133.937001952632</v>
      </c>
      <c r="AA33" s="33">
        <v>199367.46080504084</v>
      </c>
      <c r="AB33" s="32"/>
      <c r="AC33" s="31"/>
      <c r="AD33" s="44"/>
    </row>
    <row r="34" spans="1:30" s="36" customFormat="1" ht="15" customHeight="1">
      <c r="A34" s="55"/>
      <c r="B34" s="76"/>
      <c r="C34" s="76"/>
      <c r="D34" s="76"/>
      <c r="E34" s="76"/>
      <c r="F34" s="76"/>
      <c r="G34" s="76"/>
      <c r="H34" s="78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8"/>
      <c r="T34" s="79"/>
      <c r="U34" s="76"/>
      <c r="V34" s="78"/>
      <c r="W34" s="77"/>
      <c r="X34" s="77"/>
      <c r="Y34" s="77"/>
      <c r="Z34" s="76"/>
      <c r="AA34" s="75"/>
      <c r="AB34" s="32"/>
      <c r="AC34" s="44"/>
      <c r="AD34" s="44"/>
    </row>
    <row r="35" spans="1:30" s="36" customFormat="1" ht="15" customHeight="1">
      <c r="A35" s="17"/>
      <c r="B35" s="37"/>
      <c r="C35" s="37"/>
      <c r="D35" s="37"/>
      <c r="E35" s="37"/>
      <c r="F35" s="37"/>
      <c r="G35" s="37"/>
      <c r="H35" s="83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83"/>
      <c r="U35" s="37"/>
      <c r="V35" s="83"/>
      <c r="W35" s="85"/>
      <c r="X35" s="85"/>
      <c r="Y35" s="85"/>
      <c r="Z35" s="37"/>
      <c r="AA35" s="84"/>
      <c r="AB35" s="32"/>
      <c r="AC35" s="44"/>
      <c r="AD35" s="44"/>
    </row>
    <row r="36" spans="1:30" s="36" customFormat="1" ht="15" customHeight="1">
      <c r="A36" s="17">
        <v>1983</v>
      </c>
      <c r="B36" s="34">
        <v>10963.155307699293</v>
      </c>
      <c r="C36" s="34">
        <v>2614.9467200877339</v>
      </c>
      <c r="D36" s="34">
        <v>35222.792232375985</v>
      </c>
      <c r="E36" s="34">
        <v>3060.7362132780008</v>
      </c>
      <c r="F36" s="34">
        <v>12712.343884528651</v>
      </c>
      <c r="G36" s="37"/>
      <c r="H36" s="34">
        <v>64573.974357969666</v>
      </c>
      <c r="I36" s="37"/>
      <c r="J36" s="34">
        <v>25654.835708032653</v>
      </c>
      <c r="K36" s="34">
        <v>5807.1149438029706</v>
      </c>
      <c r="L36" s="34">
        <v>10799.270581988823</v>
      </c>
      <c r="M36" s="34">
        <v>6992.3114838734682</v>
      </c>
      <c r="N36" s="34">
        <v>29038.13778945693</v>
      </c>
      <c r="O36" s="34">
        <v>11462.25526609101</v>
      </c>
      <c r="P36" s="34">
        <v>14019.375470447038</v>
      </c>
      <c r="Q36" s="34">
        <v>9993.4262288942718</v>
      </c>
      <c r="R36" s="83"/>
      <c r="S36" s="34">
        <v>113766.72747258717</v>
      </c>
      <c r="U36" s="42">
        <v>3273.7850872751769</v>
      </c>
      <c r="V36" s="34">
        <v>175066.91674328168</v>
      </c>
      <c r="W36" s="82"/>
      <c r="X36" s="82"/>
      <c r="Y36" s="82"/>
      <c r="Z36" s="34">
        <v>22250.021409443158</v>
      </c>
      <c r="AA36" s="33">
        <v>197316.93815272479</v>
      </c>
      <c r="AB36" s="32"/>
      <c r="AC36" s="44"/>
      <c r="AD36" s="44"/>
    </row>
    <row r="37" spans="1:30" s="36" customFormat="1" ht="15" customHeight="1">
      <c r="A37" s="17" t="s">
        <v>26</v>
      </c>
      <c r="B37" s="38">
        <v>11972.773244952867</v>
      </c>
      <c r="C37" s="38">
        <v>2502.0128509407855</v>
      </c>
      <c r="D37" s="38">
        <v>31479.917118638405</v>
      </c>
      <c r="E37" s="38">
        <v>2837.4153450057065</v>
      </c>
      <c r="F37" s="38">
        <v>12555.419087352901</v>
      </c>
      <c r="G37" s="37"/>
      <c r="H37" s="34">
        <v>61347.537646890662</v>
      </c>
      <c r="I37" s="37"/>
      <c r="J37" s="38">
        <v>24219.685630170065</v>
      </c>
      <c r="K37" s="38">
        <v>6936.5294046387462</v>
      </c>
      <c r="L37" s="38">
        <v>10115.245599328813</v>
      </c>
      <c r="M37" s="38">
        <v>6721.2986230520974</v>
      </c>
      <c r="N37" s="38">
        <v>26387.571945204996</v>
      </c>
      <c r="O37" s="38">
        <v>10963.484758219513</v>
      </c>
      <c r="P37" s="38">
        <v>9972.1002012362387</v>
      </c>
      <c r="Q37" s="38">
        <v>9371.6718143425278</v>
      </c>
      <c r="R37" s="37"/>
      <c r="S37" s="34">
        <v>104687.58797619298</v>
      </c>
      <c r="U37" s="35">
        <v>3488.5173431679023</v>
      </c>
      <c r="V37" s="34">
        <v>162546.60827991573</v>
      </c>
      <c r="W37" s="81"/>
      <c r="X37" s="81"/>
      <c r="Y37" s="81"/>
      <c r="Z37" s="31">
        <v>21596.065351650079</v>
      </c>
      <c r="AA37" s="33">
        <v>184142.67363156582</v>
      </c>
      <c r="AB37" s="32"/>
      <c r="AC37" s="31"/>
      <c r="AD37" s="44"/>
    </row>
    <row r="38" spans="1:30" s="36" customFormat="1" ht="15" customHeight="1">
      <c r="A38" s="17" t="s">
        <v>25</v>
      </c>
      <c r="B38" s="38">
        <v>10257.611443127882</v>
      </c>
      <c r="C38" s="38">
        <v>2534.8733604123759</v>
      </c>
      <c r="D38" s="38">
        <v>36106.301054075811</v>
      </c>
      <c r="E38" s="38">
        <v>3140.8660453707439</v>
      </c>
      <c r="F38" s="38">
        <v>13057.389367898508</v>
      </c>
      <c r="G38" s="37"/>
      <c r="H38" s="34">
        <v>65097.041270885311</v>
      </c>
      <c r="I38" s="37"/>
      <c r="J38" s="38">
        <v>25950.336242963083</v>
      </c>
      <c r="K38" s="38">
        <v>5274.0392031857318</v>
      </c>
      <c r="L38" s="38">
        <v>10857.028649444321</v>
      </c>
      <c r="M38" s="38">
        <v>7172.4388172077997</v>
      </c>
      <c r="N38" s="38">
        <v>29871.194983500274</v>
      </c>
      <c r="O38" s="38">
        <v>11133.587886678168</v>
      </c>
      <c r="P38" s="38">
        <v>15617.899793307071</v>
      </c>
      <c r="Q38" s="38">
        <v>9830.1482286813953</v>
      </c>
      <c r="R38" s="37"/>
      <c r="S38" s="34">
        <v>115706.67380496785</v>
      </c>
      <c r="U38" s="35">
        <v>3456.4499401449016</v>
      </c>
      <c r="V38" s="34">
        <v>177347.26513570827</v>
      </c>
      <c r="W38" s="81"/>
      <c r="X38" s="81"/>
      <c r="Y38" s="81"/>
      <c r="Z38" s="31">
        <v>21189.273497996321</v>
      </c>
      <c r="AA38" s="33">
        <v>198536.53863370459</v>
      </c>
      <c r="AB38" s="32"/>
      <c r="AC38" s="31"/>
      <c r="AD38" s="44"/>
    </row>
    <row r="39" spans="1:30" s="36" customFormat="1" ht="15" customHeight="1">
      <c r="A39" s="17" t="s">
        <v>24</v>
      </c>
      <c r="B39" s="38">
        <v>9988.6091606293776</v>
      </c>
      <c r="C39" s="38">
        <v>2693.3808007541215</v>
      </c>
      <c r="D39" s="38">
        <v>37542.164419280482</v>
      </c>
      <c r="E39" s="38">
        <v>3264.5873736637609</v>
      </c>
      <c r="F39" s="38">
        <v>13077.715679934336</v>
      </c>
      <c r="G39" s="37"/>
      <c r="H39" s="34">
        <v>66566.457434262076</v>
      </c>
      <c r="I39" s="37"/>
      <c r="J39" s="38">
        <v>26153.646655125493</v>
      </c>
      <c r="K39" s="38">
        <v>5546.9174962484058</v>
      </c>
      <c r="L39" s="38">
        <v>11095.675640441488</v>
      </c>
      <c r="M39" s="38">
        <v>6993.1903166227412</v>
      </c>
      <c r="N39" s="38">
        <v>29701.106442826156</v>
      </c>
      <c r="O39" s="38">
        <v>11201.640482429055</v>
      </c>
      <c r="P39" s="38">
        <v>15968.845690475922</v>
      </c>
      <c r="Q39" s="38">
        <v>10265.997466062705</v>
      </c>
      <c r="R39" s="37"/>
      <c r="S39" s="34">
        <v>116927.02019023197</v>
      </c>
      <c r="U39" s="35">
        <v>3201.3773964458869</v>
      </c>
      <c r="V39" s="34">
        <v>180292.10022804816</v>
      </c>
      <c r="W39" s="81"/>
      <c r="X39" s="81"/>
      <c r="Y39" s="81"/>
      <c r="Z39" s="31">
        <v>22819.088905911143</v>
      </c>
      <c r="AA39" s="33">
        <v>203111.1891339593</v>
      </c>
      <c r="AB39" s="32"/>
      <c r="AC39" s="31"/>
      <c r="AD39" s="44"/>
    </row>
    <row r="40" spans="1:30" s="36" customFormat="1" ht="15" customHeight="1">
      <c r="A40" s="17" t="s">
        <v>23</v>
      </c>
      <c r="B40" s="38">
        <v>11633.627382087052</v>
      </c>
      <c r="C40" s="38">
        <v>2729.519868243653</v>
      </c>
      <c r="D40" s="38">
        <v>35762.786337509227</v>
      </c>
      <c r="E40" s="38">
        <v>3000.0760890717925</v>
      </c>
      <c r="F40" s="38">
        <v>12158.851402928867</v>
      </c>
      <c r="G40" s="37"/>
      <c r="H40" s="34">
        <v>65284.861079840586</v>
      </c>
      <c r="I40" s="37"/>
      <c r="J40" s="38">
        <v>26295.674303871965</v>
      </c>
      <c r="K40" s="38">
        <v>5470.9736711390005</v>
      </c>
      <c r="L40" s="38">
        <v>11129.132438740671</v>
      </c>
      <c r="M40" s="38">
        <v>7082.3181786112318</v>
      </c>
      <c r="N40" s="38">
        <v>30192.677786296295</v>
      </c>
      <c r="O40" s="38">
        <v>12550.307937037307</v>
      </c>
      <c r="P40" s="38">
        <v>14518.656196768921</v>
      </c>
      <c r="Q40" s="38">
        <v>10505.887406490459</v>
      </c>
      <c r="R40" s="37"/>
      <c r="S40" s="34">
        <v>117745.62791895584</v>
      </c>
      <c r="U40" s="35">
        <v>2948.7956693420156</v>
      </c>
      <c r="V40" s="34">
        <v>180081.69332945443</v>
      </c>
      <c r="W40" s="81"/>
      <c r="X40" s="81"/>
      <c r="Y40" s="81"/>
      <c r="Z40" s="31">
        <v>23395.65788221507</v>
      </c>
      <c r="AA40" s="33">
        <v>203477.35121166951</v>
      </c>
      <c r="AB40" s="32"/>
      <c r="AC40" s="31"/>
      <c r="AD40" s="44"/>
    </row>
    <row r="41" spans="1:30" s="36" customFormat="1" ht="15" customHeight="1">
      <c r="A41" s="55"/>
      <c r="B41" s="76"/>
      <c r="C41" s="76"/>
      <c r="D41" s="76"/>
      <c r="E41" s="76"/>
      <c r="F41" s="76"/>
      <c r="G41" s="76"/>
      <c r="H41" s="78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8"/>
      <c r="T41" s="79"/>
      <c r="U41" s="76"/>
      <c r="V41" s="78"/>
      <c r="W41" s="77"/>
      <c r="X41" s="77"/>
      <c r="Y41" s="77"/>
      <c r="Z41" s="76"/>
      <c r="AA41" s="75"/>
      <c r="AB41" s="32"/>
      <c r="AC41" s="44"/>
      <c r="AD41" s="44"/>
    </row>
    <row r="42" spans="1:30" s="36" customFormat="1" ht="15" customHeight="1">
      <c r="A42" s="17"/>
      <c r="B42" s="37"/>
      <c r="C42" s="37"/>
      <c r="D42" s="37"/>
      <c r="E42" s="37"/>
      <c r="F42" s="37"/>
      <c r="G42" s="37"/>
      <c r="H42" s="8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83"/>
      <c r="U42" s="37"/>
      <c r="V42" s="83"/>
      <c r="W42" s="85"/>
      <c r="X42" s="85"/>
      <c r="Y42" s="85"/>
      <c r="Z42" s="37"/>
      <c r="AA42" s="84"/>
      <c r="AB42" s="32"/>
      <c r="AC42" s="44"/>
      <c r="AD42" s="44"/>
    </row>
    <row r="43" spans="1:30" s="36" customFormat="1" ht="15" customHeight="1">
      <c r="A43" s="17">
        <v>1984</v>
      </c>
      <c r="B43" s="34">
        <v>11002.4374125295</v>
      </c>
      <c r="C43" s="34">
        <v>2599.7345088445336</v>
      </c>
      <c r="D43" s="34">
        <v>36094.525093140459</v>
      </c>
      <c r="E43" s="34">
        <v>3306.7546407447412</v>
      </c>
      <c r="F43" s="34">
        <v>11342.471456593186</v>
      </c>
      <c r="G43" s="37"/>
      <c r="H43" s="34">
        <v>64345.923111852419</v>
      </c>
      <c r="I43" s="37"/>
      <c r="J43" s="34">
        <v>26741.492102880729</v>
      </c>
      <c r="K43" s="34">
        <v>5658.7135270872004</v>
      </c>
      <c r="L43" s="34">
        <v>11592.967861614627</v>
      </c>
      <c r="M43" s="34">
        <v>6881.719863146428</v>
      </c>
      <c r="N43" s="34">
        <v>28163.353781204689</v>
      </c>
      <c r="O43" s="34">
        <v>11861.721330123268</v>
      </c>
      <c r="P43" s="34">
        <v>14371.927610264511</v>
      </c>
      <c r="Q43" s="34">
        <v>10785.097146785698</v>
      </c>
      <c r="R43" s="83"/>
      <c r="S43" s="34">
        <v>116056.99322310716</v>
      </c>
      <c r="U43" s="42">
        <v>2639.2864469615888</v>
      </c>
      <c r="V43" s="34">
        <v>177763.62988799799</v>
      </c>
      <c r="W43" s="82"/>
      <c r="X43" s="82"/>
      <c r="Y43" s="82"/>
      <c r="Z43" s="34">
        <v>22652.641778347144</v>
      </c>
      <c r="AA43" s="33">
        <v>200416.27166634513</v>
      </c>
      <c r="AB43" s="32"/>
      <c r="AC43" s="44"/>
      <c r="AD43" s="44"/>
    </row>
    <row r="44" spans="1:30" s="36" customFormat="1" ht="15" customHeight="1">
      <c r="A44" s="17" t="s">
        <v>26</v>
      </c>
      <c r="B44" s="38">
        <v>11323.261841114669</v>
      </c>
      <c r="C44" s="38">
        <v>2594.0382527293814</v>
      </c>
      <c r="D44" s="38">
        <v>31691.751420158304</v>
      </c>
      <c r="E44" s="38">
        <v>3013.5727779199992</v>
      </c>
      <c r="F44" s="38">
        <v>10571.408880697969</v>
      </c>
      <c r="G44" s="37"/>
      <c r="H44" s="34">
        <v>59194.033172620322</v>
      </c>
      <c r="I44" s="37"/>
      <c r="J44" s="38">
        <v>24592.748449537052</v>
      </c>
      <c r="K44" s="38">
        <v>6734.3578340984941</v>
      </c>
      <c r="L44" s="38">
        <v>10876.057868903259</v>
      </c>
      <c r="M44" s="38">
        <v>6165.0458107035502</v>
      </c>
      <c r="N44" s="38">
        <v>26195.772751864777</v>
      </c>
      <c r="O44" s="38">
        <v>11835.83649807232</v>
      </c>
      <c r="P44" s="38">
        <v>10032.643767663922</v>
      </c>
      <c r="Q44" s="38">
        <v>9952.5495102114255</v>
      </c>
      <c r="R44" s="37"/>
      <c r="S44" s="34">
        <v>106385.0124910548</v>
      </c>
      <c r="U44" s="35">
        <v>2860.8648768700486</v>
      </c>
      <c r="V44" s="34">
        <v>162718.18078680508</v>
      </c>
      <c r="W44" s="81"/>
      <c r="X44" s="81"/>
      <c r="Y44" s="81"/>
      <c r="Z44" s="31">
        <v>21602.750534404593</v>
      </c>
      <c r="AA44" s="33">
        <v>184320.93132120967</v>
      </c>
      <c r="AB44" s="32"/>
      <c r="AC44" s="31"/>
      <c r="AD44" s="44"/>
    </row>
    <row r="45" spans="1:30" s="36" customFormat="1" ht="15" customHeight="1">
      <c r="A45" s="17" t="s">
        <v>25</v>
      </c>
      <c r="B45" s="38">
        <v>11006.817764680694</v>
      </c>
      <c r="C45" s="38">
        <v>2560.9252292072465</v>
      </c>
      <c r="D45" s="38">
        <v>37099.293280683072</v>
      </c>
      <c r="E45" s="38">
        <v>3320.0101125083038</v>
      </c>
      <c r="F45" s="38">
        <v>11704.226411713817</v>
      </c>
      <c r="G45" s="37"/>
      <c r="H45" s="34">
        <v>65691.272798793128</v>
      </c>
      <c r="I45" s="37"/>
      <c r="J45" s="38">
        <v>27420.045811458211</v>
      </c>
      <c r="K45" s="38">
        <v>5146.267018893288</v>
      </c>
      <c r="L45" s="38">
        <v>11855.438078303363</v>
      </c>
      <c r="M45" s="38">
        <v>6785.2940141693452</v>
      </c>
      <c r="N45" s="38">
        <v>29064.879579830947</v>
      </c>
      <c r="O45" s="38">
        <v>11904.563741888431</v>
      </c>
      <c r="P45" s="38">
        <v>16066.546968458122</v>
      </c>
      <c r="Q45" s="38">
        <v>10767.872837659679</v>
      </c>
      <c r="R45" s="37"/>
      <c r="S45" s="34">
        <v>119010.90805066138</v>
      </c>
      <c r="U45" s="35">
        <v>2669.5671255558455</v>
      </c>
      <c r="V45" s="34">
        <v>182032.61372389866</v>
      </c>
      <c r="W45" s="81"/>
      <c r="X45" s="81"/>
      <c r="Y45" s="81"/>
      <c r="Z45" s="31">
        <v>21532.226984084402</v>
      </c>
      <c r="AA45" s="33">
        <v>203564.84070798306</v>
      </c>
      <c r="AB45" s="32"/>
      <c r="AC45" s="31"/>
      <c r="AD45" s="44"/>
    </row>
    <row r="46" spans="1:30" s="36" customFormat="1" ht="15" customHeight="1">
      <c r="A46" s="17" t="s">
        <v>24</v>
      </c>
      <c r="B46" s="38">
        <v>9882.8669334059196</v>
      </c>
      <c r="C46" s="38">
        <v>2636.2759760377817</v>
      </c>
      <c r="D46" s="38">
        <v>37968.055704753417</v>
      </c>
      <c r="E46" s="38">
        <v>3641.52044519838</v>
      </c>
      <c r="F46" s="38">
        <v>11385.705540384353</v>
      </c>
      <c r="G46" s="37"/>
      <c r="H46" s="34">
        <v>65514.42459977985</v>
      </c>
      <c r="I46" s="37"/>
      <c r="J46" s="38">
        <v>27286.056932886098</v>
      </c>
      <c r="K46" s="38">
        <v>5319.775834886912</v>
      </c>
      <c r="L46" s="38">
        <v>11684.560692109373</v>
      </c>
      <c r="M46" s="38">
        <v>7129.2044071276086</v>
      </c>
      <c r="N46" s="38">
        <v>28351.769786506069</v>
      </c>
      <c r="O46" s="38">
        <v>11841.912445646505</v>
      </c>
      <c r="P46" s="38">
        <v>16450.719317358435</v>
      </c>
      <c r="Q46" s="38">
        <v>11018.664536943756</v>
      </c>
      <c r="R46" s="37"/>
      <c r="S46" s="34">
        <v>119082.66395346477</v>
      </c>
      <c r="U46" s="35">
        <v>2550.2665819354406</v>
      </c>
      <c r="V46" s="34">
        <v>182046.8219713092</v>
      </c>
      <c r="W46" s="81"/>
      <c r="X46" s="81"/>
      <c r="Y46" s="81"/>
      <c r="Z46" s="31">
        <v>22703.87348517216</v>
      </c>
      <c r="AA46" s="33">
        <v>204750.69545648136</v>
      </c>
      <c r="AB46" s="32"/>
      <c r="AC46" s="31"/>
      <c r="AD46" s="44"/>
    </row>
    <row r="47" spans="1:30" s="36" customFormat="1" ht="15" customHeight="1">
      <c r="A47" s="17" t="s">
        <v>23</v>
      </c>
      <c r="B47" s="38">
        <v>11796.803110916717</v>
      </c>
      <c r="C47" s="38">
        <v>2607.6985774037257</v>
      </c>
      <c r="D47" s="38">
        <v>37618.999966967021</v>
      </c>
      <c r="E47" s="38">
        <v>3251.9152273522827</v>
      </c>
      <c r="F47" s="38">
        <v>11708.544993576608</v>
      </c>
      <c r="G47" s="37"/>
      <c r="H47" s="34">
        <v>66983.961876216359</v>
      </c>
      <c r="I47" s="37"/>
      <c r="J47" s="38">
        <v>27667.117217641553</v>
      </c>
      <c r="K47" s="38">
        <v>5434.4534204701031</v>
      </c>
      <c r="L47" s="38">
        <v>11955.814807142509</v>
      </c>
      <c r="M47" s="38">
        <v>7447.3352205852088</v>
      </c>
      <c r="N47" s="38">
        <v>29040.993006616962</v>
      </c>
      <c r="O47" s="38">
        <v>11864.572634885813</v>
      </c>
      <c r="P47" s="38">
        <v>14937.800387577567</v>
      </c>
      <c r="Q47" s="38">
        <v>11401.301702327935</v>
      </c>
      <c r="R47" s="37"/>
      <c r="S47" s="34">
        <v>119749.38839724765</v>
      </c>
      <c r="U47" s="35">
        <v>2476.447203485021</v>
      </c>
      <c r="V47" s="34">
        <v>184256.90306997896</v>
      </c>
      <c r="W47" s="81"/>
      <c r="X47" s="81"/>
      <c r="Y47" s="81"/>
      <c r="Z47" s="31">
        <v>24771.716109727422</v>
      </c>
      <c r="AA47" s="33">
        <v>209028.61917970638</v>
      </c>
      <c r="AB47" s="32"/>
      <c r="AC47" s="31"/>
      <c r="AD47" s="44"/>
    </row>
    <row r="48" spans="1:30" s="36" customFormat="1" ht="15" customHeight="1">
      <c r="A48" s="55"/>
      <c r="B48" s="76"/>
      <c r="C48" s="76"/>
      <c r="D48" s="76"/>
      <c r="E48" s="76"/>
      <c r="F48" s="76"/>
      <c r="G48" s="76"/>
      <c r="H48" s="78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8"/>
      <c r="T48" s="79"/>
      <c r="U48" s="76"/>
      <c r="V48" s="78"/>
      <c r="W48" s="77"/>
      <c r="X48" s="77"/>
      <c r="Y48" s="77"/>
      <c r="Z48" s="76"/>
      <c r="AA48" s="75"/>
      <c r="AB48" s="32"/>
      <c r="AC48" s="44"/>
      <c r="AD48" s="44"/>
    </row>
    <row r="49" spans="1:30" s="36" customFormat="1" ht="15" customHeight="1">
      <c r="A49" s="17"/>
      <c r="B49" s="37"/>
      <c r="C49" s="37"/>
      <c r="D49" s="37"/>
      <c r="E49" s="37"/>
      <c r="F49" s="37"/>
      <c r="G49" s="37"/>
      <c r="H49" s="8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83"/>
      <c r="U49" s="37"/>
      <c r="V49" s="83"/>
      <c r="W49" s="85"/>
      <c r="X49" s="85"/>
      <c r="Y49" s="85"/>
      <c r="Z49" s="37"/>
      <c r="AA49" s="84"/>
      <c r="AB49" s="32"/>
      <c r="AC49" s="44"/>
      <c r="AD49" s="44"/>
    </row>
    <row r="50" spans="1:30" s="36" customFormat="1" ht="15" customHeight="1">
      <c r="A50" s="17">
        <v>1985</v>
      </c>
      <c r="B50" s="34">
        <v>10815.933053891413</v>
      </c>
      <c r="C50" s="34">
        <v>2565.6554970440238</v>
      </c>
      <c r="D50" s="34">
        <v>32683.61742549749</v>
      </c>
      <c r="E50" s="34">
        <v>3364.9805173025907</v>
      </c>
      <c r="F50" s="34">
        <v>9702.9746601768347</v>
      </c>
      <c r="G50" s="37"/>
      <c r="H50" s="34">
        <v>59133.161153912355</v>
      </c>
      <c r="I50" s="37"/>
      <c r="J50" s="34">
        <v>24193.857761157597</v>
      </c>
      <c r="K50" s="34">
        <v>4854.2231273213711</v>
      </c>
      <c r="L50" s="34">
        <v>11500.252826379536</v>
      </c>
      <c r="M50" s="34">
        <v>5996.2841941358392</v>
      </c>
      <c r="N50" s="34">
        <v>27952.146311688492</v>
      </c>
      <c r="O50" s="34">
        <v>12224.417835992372</v>
      </c>
      <c r="P50" s="34">
        <v>14601.981547755639</v>
      </c>
      <c r="Q50" s="34">
        <v>10277.461627412275</v>
      </c>
      <c r="R50" s="83"/>
      <c r="S50" s="34">
        <v>111600.62523184312</v>
      </c>
      <c r="U50" s="42">
        <v>2378.3024072284761</v>
      </c>
      <c r="V50" s="34">
        <v>168355.48397852699</v>
      </c>
      <c r="W50" s="82"/>
      <c r="X50" s="82"/>
      <c r="Y50" s="82"/>
      <c r="Z50" s="34">
        <v>21661.13854536954</v>
      </c>
      <c r="AA50" s="33">
        <v>190016.62252389651</v>
      </c>
      <c r="AB50" s="32"/>
      <c r="AC50" s="44"/>
      <c r="AD50" s="44"/>
    </row>
    <row r="51" spans="1:30" s="36" customFormat="1" ht="15" customHeight="1">
      <c r="A51" s="17" t="s">
        <v>26</v>
      </c>
      <c r="B51" s="38">
        <v>11976.160438545339</v>
      </c>
      <c r="C51" s="38">
        <v>2530.8169168678969</v>
      </c>
      <c r="D51" s="38">
        <v>30217.003103426538</v>
      </c>
      <c r="E51" s="38">
        <v>3073.5845521808019</v>
      </c>
      <c r="F51" s="38">
        <v>9241.1322702220641</v>
      </c>
      <c r="G51" s="37"/>
      <c r="H51" s="34">
        <v>57038.697281242639</v>
      </c>
      <c r="I51" s="37"/>
      <c r="J51" s="38">
        <v>24116.222766606101</v>
      </c>
      <c r="K51" s="38">
        <v>5700.7197977697042</v>
      </c>
      <c r="L51" s="38">
        <v>11231.542801993712</v>
      </c>
      <c r="M51" s="38">
        <v>6128.9532945270248</v>
      </c>
      <c r="N51" s="38">
        <v>25709.52473581726</v>
      </c>
      <c r="O51" s="38">
        <v>12185.825981911679</v>
      </c>
      <c r="P51" s="38">
        <v>10334.092076570341</v>
      </c>
      <c r="Q51" s="38">
        <v>10149.979905245164</v>
      </c>
      <c r="R51" s="37"/>
      <c r="S51" s="34">
        <v>105556.86136044099</v>
      </c>
      <c r="U51" s="35">
        <v>2377.4974396658063</v>
      </c>
      <c r="V51" s="34">
        <v>160218.06120201782</v>
      </c>
      <c r="W51" s="81"/>
      <c r="X51" s="81"/>
      <c r="Y51" s="81"/>
      <c r="Z51" s="31">
        <v>21115.155891042934</v>
      </c>
      <c r="AA51" s="33">
        <v>181333.21709306075</v>
      </c>
      <c r="AB51" s="32"/>
      <c r="AC51" s="31"/>
      <c r="AD51" s="44"/>
    </row>
    <row r="52" spans="1:30" s="36" customFormat="1" ht="15" customHeight="1">
      <c r="A52" s="17" t="s">
        <v>25</v>
      </c>
      <c r="B52" s="38">
        <v>11068.402856908189</v>
      </c>
      <c r="C52" s="38">
        <v>2551.4221939199083</v>
      </c>
      <c r="D52" s="38">
        <v>32880.595341713655</v>
      </c>
      <c r="E52" s="38">
        <v>3411.8772150877635</v>
      </c>
      <c r="F52" s="38">
        <v>9221.784800235404</v>
      </c>
      <c r="G52" s="37"/>
      <c r="H52" s="34">
        <v>59134.082407864917</v>
      </c>
      <c r="I52" s="37"/>
      <c r="J52" s="38">
        <v>25040.130666008601</v>
      </c>
      <c r="K52" s="38">
        <v>4295.4409833461332</v>
      </c>
      <c r="L52" s="38">
        <v>11506.86057737145</v>
      </c>
      <c r="M52" s="38">
        <v>5634.5567853149169</v>
      </c>
      <c r="N52" s="38">
        <v>28174.002380920669</v>
      </c>
      <c r="O52" s="38">
        <v>12316.104686761506</v>
      </c>
      <c r="P52" s="38">
        <v>16582.684935297151</v>
      </c>
      <c r="Q52" s="38">
        <v>9784.5157508825814</v>
      </c>
      <c r="R52" s="37"/>
      <c r="S52" s="34">
        <v>113334.296765903</v>
      </c>
      <c r="U52" s="35">
        <v>2197.3336066972111</v>
      </c>
      <c r="V52" s="34">
        <v>170271.04556707072</v>
      </c>
      <c r="W52" s="81"/>
      <c r="X52" s="81"/>
      <c r="Y52" s="81"/>
      <c r="Z52" s="31">
        <v>20343.211655922954</v>
      </c>
      <c r="AA52" s="33">
        <v>190614.25722299368</v>
      </c>
      <c r="AB52" s="32"/>
      <c r="AC52" s="31"/>
      <c r="AD52" s="44"/>
    </row>
    <row r="53" spans="1:30" s="36" customFormat="1" ht="15" customHeight="1">
      <c r="A53" s="17" t="s">
        <v>24</v>
      </c>
      <c r="B53" s="38">
        <v>9716.2990530879142</v>
      </c>
      <c r="C53" s="38">
        <v>2590.5932970103208</v>
      </c>
      <c r="D53" s="38">
        <v>32285.689505526043</v>
      </c>
      <c r="E53" s="38">
        <v>3615.5314139043057</v>
      </c>
      <c r="F53" s="38">
        <v>10032.93513209491</v>
      </c>
      <c r="G53" s="37"/>
      <c r="H53" s="34">
        <v>58241.048401623484</v>
      </c>
      <c r="I53" s="37"/>
      <c r="J53" s="38">
        <v>22708.279288429207</v>
      </c>
      <c r="K53" s="38">
        <v>4417.1396817916102</v>
      </c>
      <c r="L53" s="38">
        <v>11321.222577012859</v>
      </c>
      <c r="M53" s="38">
        <v>5772.8638173138343</v>
      </c>
      <c r="N53" s="38">
        <v>27713.822587581377</v>
      </c>
      <c r="O53" s="38">
        <v>12338.756915860364</v>
      </c>
      <c r="P53" s="38">
        <v>16834.539321258322</v>
      </c>
      <c r="Q53" s="38">
        <v>10117.382878402834</v>
      </c>
      <c r="R53" s="37"/>
      <c r="S53" s="34">
        <v>111224.00706765038</v>
      </c>
      <c r="U53" s="35">
        <v>2368.9758972351146</v>
      </c>
      <c r="V53" s="34">
        <v>167096.07957203875</v>
      </c>
      <c r="W53" s="81"/>
      <c r="X53" s="81"/>
      <c r="Y53" s="81"/>
      <c r="Z53" s="31">
        <v>21198.706282882871</v>
      </c>
      <c r="AA53" s="33">
        <v>188294.78585492162</v>
      </c>
      <c r="AB53" s="32"/>
      <c r="AC53" s="31"/>
      <c r="AD53" s="44"/>
    </row>
    <row r="54" spans="1:30" s="36" customFormat="1" ht="15" customHeight="1">
      <c r="A54" s="17" t="s">
        <v>23</v>
      </c>
      <c r="B54" s="38">
        <v>10502.869867024207</v>
      </c>
      <c r="C54" s="38">
        <v>2589.7895803779711</v>
      </c>
      <c r="D54" s="38">
        <v>35351.181751323733</v>
      </c>
      <c r="E54" s="38">
        <v>3358.9288880374907</v>
      </c>
      <c r="F54" s="38">
        <v>10316.046438154957</v>
      </c>
      <c r="G54" s="37"/>
      <c r="H54" s="34">
        <v>62118.816524918351</v>
      </c>
      <c r="I54" s="37"/>
      <c r="J54" s="38">
        <v>24910.798323586463</v>
      </c>
      <c r="K54" s="38">
        <v>5003.5920463780385</v>
      </c>
      <c r="L54" s="38">
        <v>11941.385349140126</v>
      </c>
      <c r="M54" s="38">
        <v>6448.762879387582</v>
      </c>
      <c r="N54" s="38">
        <v>30211.235542434653</v>
      </c>
      <c r="O54" s="38">
        <v>12056.983759435934</v>
      </c>
      <c r="P54" s="38">
        <v>14656.609857896743</v>
      </c>
      <c r="Q54" s="38">
        <v>11057.967975118525</v>
      </c>
      <c r="R54" s="37"/>
      <c r="S54" s="34">
        <v>116287.33573337807</v>
      </c>
      <c r="U54" s="35">
        <v>2569.4026853157729</v>
      </c>
      <c r="V54" s="34">
        <v>175836.74957298065</v>
      </c>
      <c r="W54" s="81"/>
      <c r="X54" s="81"/>
      <c r="Y54" s="81"/>
      <c r="Z54" s="31">
        <v>23987.480351629405</v>
      </c>
      <c r="AA54" s="33">
        <v>199824.22992461006</v>
      </c>
      <c r="AB54" s="32"/>
      <c r="AC54" s="31"/>
      <c r="AD54" s="44"/>
    </row>
    <row r="55" spans="1:30" s="36" customFormat="1" ht="15" customHeight="1">
      <c r="A55" s="55"/>
      <c r="B55" s="76"/>
      <c r="C55" s="76"/>
      <c r="D55" s="76"/>
      <c r="E55" s="76"/>
      <c r="F55" s="76"/>
      <c r="G55" s="76"/>
      <c r="H55" s="78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8"/>
      <c r="T55" s="79"/>
      <c r="U55" s="76"/>
      <c r="V55" s="78"/>
      <c r="W55" s="77"/>
      <c r="X55" s="77"/>
      <c r="Y55" s="77"/>
      <c r="Z55" s="76"/>
      <c r="AA55" s="75"/>
      <c r="AB55" s="32"/>
      <c r="AC55" s="44"/>
      <c r="AD55" s="44"/>
    </row>
    <row r="56" spans="1:30" s="36" customFormat="1" ht="15" customHeight="1">
      <c r="A56" s="17"/>
      <c r="B56" s="37"/>
      <c r="C56" s="37"/>
      <c r="D56" s="37"/>
      <c r="E56" s="37"/>
      <c r="F56" s="37"/>
      <c r="G56" s="37"/>
      <c r="H56" s="83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83"/>
      <c r="U56" s="37"/>
      <c r="V56" s="83"/>
      <c r="W56" s="85"/>
      <c r="X56" s="85"/>
      <c r="Y56" s="85"/>
      <c r="Z56" s="37"/>
      <c r="AA56" s="84"/>
      <c r="AB56" s="32"/>
      <c r="AC56" s="44"/>
      <c r="AD56" s="44"/>
    </row>
    <row r="57" spans="1:30" s="36" customFormat="1" ht="15" customHeight="1">
      <c r="A57" s="17">
        <v>1986</v>
      </c>
      <c r="B57" s="34">
        <v>10835.264651777443</v>
      </c>
      <c r="C57" s="34">
        <v>2392.6932457271669</v>
      </c>
      <c r="D57" s="34">
        <v>35968.738454342893</v>
      </c>
      <c r="E57" s="34">
        <v>3488.7333633576436</v>
      </c>
      <c r="F57" s="34">
        <v>11586.081401862015</v>
      </c>
      <c r="G57" s="37"/>
      <c r="H57" s="34">
        <v>64271.511117067159</v>
      </c>
      <c r="I57" s="37"/>
      <c r="J57" s="34">
        <v>26279.237024018119</v>
      </c>
      <c r="K57" s="34">
        <v>5220.0146946383238</v>
      </c>
      <c r="L57" s="34">
        <v>12268.159450531846</v>
      </c>
      <c r="M57" s="34">
        <v>7015.3772769656753</v>
      </c>
      <c r="N57" s="34">
        <v>28675.112071018346</v>
      </c>
      <c r="O57" s="34">
        <v>12204.474828960047</v>
      </c>
      <c r="P57" s="34">
        <v>15085.16356750006</v>
      </c>
      <c r="Q57" s="34">
        <v>10585.238604817154</v>
      </c>
      <c r="R57" s="83"/>
      <c r="S57" s="34">
        <v>117332.77751844955</v>
      </c>
      <c r="U57" s="42">
        <v>2588.0457462819822</v>
      </c>
      <c r="V57" s="34">
        <v>179016.24288923474</v>
      </c>
      <c r="W57" s="82"/>
      <c r="X57" s="82"/>
      <c r="Y57" s="82"/>
      <c r="Z57" s="34">
        <v>22692.818900451231</v>
      </c>
      <c r="AA57" s="33">
        <v>201709.06178968598</v>
      </c>
      <c r="AB57" s="32"/>
      <c r="AC57" s="44"/>
      <c r="AD57" s="44"/>
    </row>
    <row r="58" spans="1:30" s="36" customFormat="1" ht="15" customHeight="1">
      <c r="A58" s="17" t="s">
        <v>26</v>
      </c>
      <c r="B58" s="38">
        <v>11115.196014931944</v>
      </c>
      <c r="C58" s="38">
        <v>2430.9412794527143</v>
      </c>
      <c r="D58" s="38">
        <v>31000.186441447717</v>
      </c>
      <c r="E58" s="38">
        <v>3045.0518183379759</v>
      </c>
      <c r="F58" s="38">
        <v>9937.5293154086939</v>
      </c>
      <c r="G58" s="37"/>
      <c r="H58" s="34">
        <v>57528.904869579041</v>
      </c>
      <c r="I58" s="37"/>
      <c r="J58" s="38">
        <v>23827.773622025645</v>
      </c>
      <c r="K58" s="38">
        <v>6119.7198947212428</v>
      </c>
      <c r="L58" s="38">
        <v>11219.812790637121</v>
      </c>
      <c r="M58" s="38">
        <v>6508.7090242426439</v>
      </c>
      <c r="N58" s="38">
        <v>25726.868785985174</v>
      </c>
      <c r="O58" s="38">
        <v>12311.866348264717</v>
      </c>
      <c r="P58" s="38">
        <v>10371.399707377604</v>
      </c>
      <c r="Q58" s="38">
        <v>10165.591710024048</v>
      </c>
      <c r="R58" s="37"/>
      <c r="S58" s="34">
        <v>106251.74188327818</v>
      </c>
      <c r="U58" s="35">
        <v>2483.2958111153425</v>
      </c>
      <c r="V58" s="34">
        <v>161297.35094174187</v>
      </c>
      <c r="W58" s="81"/>
      <c r="X58" s="81"/>
      <c r="Y58" s="81"/>
      <c r="Z58" s="31">
        <v>21066.012796910123</v>
      </c>
      <c r="AA58" s="33">
        <v>182363.363738652</v>
      </c>
      <c r="AB58" s="32"/>
      <c r="AC58" s="31"/>
      <c r="AD58" s="44"/>
    </row>
    <row r="59" spans="1:30" s="36" customFormat="1" ht="15" customHeight="1">
      <c r="A59" s="17" t="s">
        <v>25</v>
      </c>
      <c r="B59" s="38">
        <v>10767.164011495188</v>
      </c>
      <c r="C59" s="38">
        <v>2418.348141814522</v>
      </c>
      <c r="D59" s="38">
        <v>36076.605242071593</v>
      </c>
      <c r="E59" s="38">
        <v>3476.1055980260153</v>
      </c>
      <c r="F59" s="38">
        <v>11033.715541320147</v>
      </c>
      <c r="G59" s="37"/>
      <c r="H59" s="34">
        <v>63771.938534727466</v>
      </c>
      <c r="I59" s="37"/>
      <c r="J59" s="38">
        <v>27085.99321904208</v>
      </c>
      <c r="K59" s="38">
        <v>4818.4263853159227</v>
      </c>
      <c r="L59" s="38">
        <v>12257.622492362232</v>
      </c>
      <c r="M59" s="38">
        <v>7046.9650191195715</v>
      </c>
      <c r="N59" s="38">
        <v>28862.141475605651</v>
      </c>
      <c r="O59" s="38">
        <v>12377.859032387045</v>
      </c>
      <c r="P59" s="38">
        <v>17049.344462391549</v>
      </c>
      <c r="Q59" s="38">
        <v>10575.670618130023</v>
      </c>
      <c r="R59" s="37"/>
      <c r="S59" s="34">
        <v>120074.02270435407</v>
      </c>
      <c r="U59" s="35">
        <v>2636.4798262961649</v>
      </c>
      <c r="V59" s="34">
        <v>181209.48141278536</v>
      </c>
      <c r="W59" s="81"/>
      <c r="X59" s="81"/>
      <c r="Y59" s="81"/>
      <c r="Z59" s="31">
        <v>21375.839713986694</v>
      </c>
      <c r="AA59" s="33">
        <v>202585.32112677206</v>
      </c>
      <c r="AB59" s="32"/>
      <c r="AC59" s="31"/>
      <c r="AD59" s="44"/>
    </row>
    <row r="60" spans="1:30" s="36" customFormat="1" ht="15" customHeight="1">
      <c r="A60" s="17" t="s">
        <v>24</v>
      </c>
      <c r="B60" s="38">
        <v>10327.101124486884</v>
      </c>
      <c r="C60" s="38">
        <v>2383.9166834390762</v>
      </c>
      <c r="D60" s="38">
        <v>38910.416647759281</v>
      </c>
      <c r="E60" s="38">
        <v>3895.1896454367511</v>
      </c>
      <c r="F60" s="38">
        <v>12678.807382811177</v>
      </c>
      <c r="G60" s="37"/>
      <c r="H60" s="34">
        <v>68195.431483933178</v>
      </c>
      <c r="I60" s="37"/>
      <c r="J60" s="38">
        <v>27012.201859237033</v>
      </c>
      <c r="K60" s="38">
        <v>5049.9492902834209</v>
      </c>
      <c r="L60" s="38">
        <v>12817.340245906442</v>
      </c>
      <c r="M60" s="38">
        <v>7210.1914665528102</v>
      </c>
      <c r="N60" s="38">
        <v>30187.876024438188</v>
      </c>
      <c r="O60" s="38">
        <v>12175.197814253954</v>
      </c>
      <c r="P60" s="38">
        <v>17487.516725490943</v>
      </c>
      <c r="Q60" s="38">
        <v>10984.853716084674</v>
      </c>
      <c r="R60" s="37"/>
      <c r="S60" s="34">
        <v>122925.12714224748</v>
      </c>
      <c r="U60" s="35">
        <v>2617.1925787669093</v>
      </c>
      <c r="V60" s="34">
        <v>188503.36604741376</v>
      </c>
      <c r="W60" s="81"/>
      <c r="X60" s="81"/>
      <c r="Y60" s="81"/>
      <c r="Z60" s="31">
        <v>23455.7222247428</v>
      </c>
      <c r="AA60" s="33">
        <v>211959.08827215654</v>
      </c>
      <c r="AB60" s="32"/>
      <c r="AC60" s="31"/>
      <c r="AD60" s="44"/>
    </row>
    <row r="61" spans="1:30" s="36" customFormat="1" ht="15" customHeight="1">
      <c r="A61" s="17" t="s">
        <v>23</v>
      </c>
      <c r="B61" s="38">
        <v>11131.597456195754</v>
      </c>
      <c r="C61" s="38">
        <v>2337.5668782023554</v>
      </c>
      <c r="D61" s="38">
        <v>37887.745486092965</v>
      </c>
      <c r="E61" s="38">
        <v>3538.5863916298322</v>
      </c>
      <c r="F61" s="38">
        <v>12694.273367908045</v>
      </c>
      <c r="G61" s="37"/>
      <c r="H61" s="34">
        <v>67589.769580028951</v>
      </c>
      <c r="I61" s="37"/>
      <c r="J61" s="38">
        <v>27190.979395767721</v>
      </c>
      <c r="K61" s="38">
        <v>4891.963208232708</v>
      </c>
      <c r="L61" s="38">
        <v>12777.862273221584</v>
      </c>
      <c r="M61" s="38">
        <v>7295.6435979476773</v>
      </c>
      <c r="N61" s="38">
        <v>29923.561998044366</v>
      </c>
      <c r="O61" s="38">
        <v>11952.976120934471</v>
      </c>
      <c r="P61" s="38">
        <v>15432.393374740139</v>
      </c>
      <c r="Q61" s="38">
        <v>10614.838375029871</v>
      </c>
      <c r="R61" s="37"/>
      <c r="S61" s="34">
        <v>120080.21834391855</v>
      </c>
      <c r="U61" s="35">
        <v>2615.2147689495123</v>
      </c>
      <c r="V61" s="34">
        <v>185054.77315499799</v>
      </c>
      <c r="W61" s="81"/>
      <c r="X61" s="81"/>
      <c r="Y61" s="81"/>
      <c r="Z61" s="31">
        <v>24873.700866165316</v>
      </c>
      <c r="AA61" s="33">
        <v>209928.4740211633</v>
      </c>
      <c r="AB61" s="32"/>
      <c r="AC61" s="31"/>
      <c r="AD61" s="44"/>
    </row>
    <row r="62" spans="1:30" s="36" customFormat="1" ht="15" customHeight="1">
      <c r="A62" s="55"/>
      <c r="B62" s="76"/>
      <c r="C62" s="76"/>
      <c r="D62" s="76"/>
      <c r="E62" s="76"/>
      <c r="F62" s="76"/>
      <c r="G62" s="76"/>
      <c r="H62" s="78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8"/>
      <c r="T62" s="79"/>
      <c r="U62" s="76"/>
      <c r="V62" s="78"/>
      <c r="W62" s="77"/>
      <c r="X62" s="77"/>
      <c r="Y62" s="77"/>
      <c r="Z62" s="76"/>
      <c r="AA62" s="75"/>
      <c r="AB62" s="32"/>
      <c r="AC62" s="44"/>
      <c r="AD62" s="44"/>
    </row>
    <row r="63" spans="1:30" s="36" customFormat="1" ht="15" customHeight="1">
      <c r="A63" s="17"/>
      <c r="B63" s="37"/>
      <c r="C63" s="37"/>
      <c r="D63" s="37"/>
      <c r="E63" s="37"/>
      <c r="F63" s="37"/>
      <c r="G63" s="37"/>
      <c r="H63" s="83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83"/>
      <c r="U63" s="37"/>
      <c r="V63" s="83"/>
      <c r="W63" s="85"/>
      <c r="X63" s="85"/>
      <c r="Y63" s="85"/>
      <c r="Z63" s="37"/>
      <c r="AA63" s="84"/>
      <c r="AB63" s="32"/>
      <c r="AC63" s="44"/>
      <c r="AD63" s="44"/>
    </row>
    <row r="64" spans="1:30" s="36" customFormat="1" ht="15" customHeight="1">
      <c r="A64" s="17">
        <v>1987</v>
      </c>
      <c r="B64" s="34">
        <v>10539.679462193613</v>
      </c>
      <c r="C64" s="34">
        <v>2567.8149505639972</v>
      </c>
      <c r="D64" s="34">
        <v>36356.850400596071</v>
      </c>
      <c r="E64" s="34">
        <v>3666.6840896806762</v>
      </c>
      <c r="F64" s="34">
        <v>13222.112330453167</v>
      </c>
      <c r="G64" s="37"/>
      <c r="H64" s="34">
        <v>66353.14123348752</v>
      </c>
      <c r="I64" s="37"/>
      <c r="J64" s="34">
        <v>26480.487348144794</v>
      </c>
      <c r="K64" s="34">
        <v>5223.7598449593352</v>
      </c>
      <c r="L64" s="34">
        <v>12748.544834139924</v>
      </c>
      <c r="M64" s="34">
        <v>6585.9575499706725</v>
      </c>
      <c r="N64" s="34">
        <v>30393.661329205373</v>
      </c>
      <c r="O64" s="34">
        <v>12509.218508498043</v>
      </c>
      <c r="P64" s="34">
        <v>15749.722348187501</v>
      </c>
      <c r="Q64" s="34">
        <v>11187.71252846525</v>
      </c>
      <c r="R64" s="37"/>
      <c r="S64" s="34">
        <v>120879.06429157089</v>
      </c>
      <c r="U64" s="42">
        <v>2653.9553473426458</v>
      </c>
      <c r="V64" s="34">
        <v>184578.25017771576</v>
      </c>
      <c r="W64" s="82"/>
      <c r="X64" s="82"/>
      <c r="Y64" s="82"/>
      <c r="Z64" s="34">
        <v>22586.777143554435</v>
      </c>
      <c r="AA64" s="33">
        <v>207165.0273212702</v>
      </c>
      <c r="AB64" s="32"/>
      <c r="AC64" s="44"/>
      <c r="AD64" s="44"/>
    </row>
    <row r="65" spans="1:30" s="36" customFormat="1" ht="15" customHeight="1">
      <c r="A65" s="17" t="s">
        <v>26</v>
      </c>
      <c r="B65" s="38">
        <v>11240.365635048789</v>
      </c>
      <c r="C65" s="38">
        <v>2380.8267946835663</v>
      </c>
      <c r="D65" s="38">
        <v>32051.494396273982</v>
      </c>
      <c r="E65" s="38">
        <v>3287.2472691939324</v>
      </c>
      <c r="F65" s="38">
        <v>11862.80406134216</v>
      </c>
      <c r="G65" s="37"/>
      <c r="H65" s="34">
        <v>60822.738156542429</v>
      </c>
      <c r="I65" s="37"/>
      <c r="J65" s="38">
        <v>24772.348387506012</v>
      </c>
      <c r="K65" s="38">
        <v>6152.9251841585192</v>
      </c>
      <c r="L65" s="38">
        <v>11709.534601114343</v>
      </c>
      <c r="M65" s="38">
        <v>6386.9175794596113</v>
      </c>
      <c r="N65" s="38">
        <v>27366.864148678524</v>
      </c>
      <c r="O65" s="38">
        <v>12708.191081478004</v>
      </c>
      <c r="P65" s="38">
        <v>10716.284027637012</v>
      </c>
      <c r="Q65" s="38">
        <v>10286.536151164497</v>
      </c>
      <c r="R65" s="37"/>
      <c r="S65" s="34">
        <v>110099.60116119652</v>
      </c>
      <c r="U65" s="35">
        <v>2681.0070810211928</v>
      </c>
      <c r="V65" s="34">
        <v>168241.33223671775</v>
      </c>
      <c r="W65" s="81"/>
      <c r="X65" s="81"/>
      <c r="Y65" s="81"/>
      <c r="Z65" s="31">
        <v>21409.182375611083</v>
      </c>
      <c r="AA65" s="33">
        <v>189650.51461232884</v>
      </c>
      <c r="AB65" s="32"/>
      <c r="AC65" s="31"/>
      <c r="AD65" s="44"/>
    </row>
    <row r="66" spans="1:30" s="36" customFormat="1" ht="15" customHeight="1">
      <c r="A66" s="17" t="s">
        <v>25</v>
      </c>
      <c r="B66" s="38">
        <v>10457.18781317168</v>
      </c>
      <c r="C66" s="38">
        <v>2538.3515087320638</v>
      </c>
      <c r="D66" s="38">
        <v>37711.840736996557</v>
      </c>
      <c r="E66" s="38">
        <v>3603.5259028922451</v>
      </c>
      <c r="F66" s="38">
        <v>13382.841751944659</v>
      </c>
      <c r="G66" s="37"/>
      <c r="H66" s="34">
        <v>67693.747713737204</v>
      </c>
      <c r="I66" s="37"/>
      <c r="J66" s="38">
        <v>27519.943521767873</v>
      </c>
      <c r="K66" s="38">
        <v>4564.0645378017089</v>
      </c>
      <c r="L66" s="38">
        <v>12950.192060821611</v>
      </c>
      <c r="M66" s="38">
        <v>6788.1601046374899</v>
      </c>
      <c r="N66" s="38">
        <v>30912.891853204139</v>
      </c>
      <c r="O66" s="38">
        <v>12569.846305650968</v>
      </c>
      <c r="P66" s="38">
        <v>17883.652052740214</v>
      </c>
      <c r="Q66" s="38">
        <v>11306.313703527343</v>
      </c>
      <c r="R66" s="37"/>
      <c r="S66" s="34">
        <v>124495.06414015134</v>
      </c>
      <c r="U66" s="35">
        <v>2711.4801411762937</v>
      </c>
      <c r="V66" s="34">
        <v>189477.33171271227</v>
      </c>
      <c r="W66" s="81"/>
      <c r="X66" s="81"/>
      <c r="Y66" s="81"/>
      <c r="Z66" s="31">
        <v>21476.259529028866</v>
      </c>
      <c r="AA66" s="33">
        <v>210953.59124174115</v>
      </c>
      <c r="AB66" s="32"/>
      <c r="AC66" s="31"/>
      <c r="AD66" s="44"/>
    </row>
    <row r="67" spans="1:30" s="36" customFormat="1" ht="15" customHeight="1">
      <c r="A67" s="17" t="s">
        <v>24</v>
      </c>
      <c r="B67" s="38">
        <v>10018.292968461905</v>
      </c>
      <c r="C67" s="38">
        <v>2655.8405832576796</v>
      </c>
      <c r="D67" s="38">
        <v>39174.716084166539</v>
      </c>
      <c r="E67" s="38">
        <v>4104.7523446466375</v>
      </c>
      <c r="F67" s="38">
        <v>14387.541796731386</v>
      </c>
      <c r="G67" s="37"/>
      <c r="H67" s="34">
        <v>70341.143777264151</v>
      </c>
      <c r="I67" s="37"/>
      <c r="J67" s="38">
        <v>27153.257895260394</v>
      </c>
      <c r="K67" s="38">
        <v>4870.8113768669364</v>
      </c>
      <c r="L67" s="38">
        <v>13319.451880627679</v>
      </c>
      <c r="M67" s="38">
        <v>6818.0379851497073</v>
      </c>
      <c r="N67" s="38">
        <v>31551.430557973075</v>
      </c>
      <c r="O67" s="38">
        <v>12461.68257123894</v>
      </c>
      <c r="P67" s="38">
        <v>18247.554282986042</v>
      </c>
      <c r="Q67" s="38">
        <v>11666.21290632769</v>
      </c>
      <c r="R67" s="37"/>
      <c r="S67" s="34">
        <v>126088.43945643048</v>
      </c>
      <c r="U67" s="35">
        <v>2642.6247798862751</v>
      </c>
      <c r="V67" s="34">
        <v>193786.95845380836</v>
      </c>
      <c r="W67" s="81"/>
      <c r="X67" s="81"/>
      <c r="Y67" s="81"/>
      <c r="Z67" s="31">
        <v>23237.156918363842</v>
      </c>
      <c r="AA67" s="33">
        <v>217024.11537217221</v>
      </c>
      <c r="AB67" s="32"/>
      <c r="AC67" s="31"/>
      <c r="AD67" s="44"/>
    </row>
    <row r="68" spans="1:30" s="36" customFormat="1" ht="15" customHeight="1">
      <c r="A68" s="17" t="s">
        <v>23</v>
      </c>
      <c r="B68" s="38">
        <v>10442.871432092079</v>
      </c>
      <c r="C68" s="38">
        <v>2696.240915582679</v>
      </c>
      <c r="D68" s="38">
        <v>36489.350384947204</v>
      </c>
      <c r="E68" s="38">
        <v>3671.2108419898905</v>
      </c>
      <c r="F68" s="38">
        <v>13255.261711794459</v>
      </c>
      <c r="G68" s="37"/>
      <c r="H68" s="34">
        <v>66554.935286406311</v>
      </c>
      <c r="I68" s="37"/>
      <c r="J68" s="38">
        <v>26476.399588044893</v>
      </c>
      <c r="K68" s="38">
        <v>5307.2382810101753</v>
      </c>
      <c r="L68" s="38">
        <v>13015.000793996067</v>
      </c>
      <c r="M68" s="38">
        <v>6350.7145306358825</v>
      </c>
      <c r="N68" s="38">
        <v>31743.458756965756</v>
      </c>
      <c r="O68" s="38">
        <v>12297.154075624263</v>
      </c>
      <c r="P68" s="38">
        <v>16151.399029386743</v>
      </c>
      <c r="Q68" s="38">
        <v>11491.787352841471</v>
      </c>
      <c r="R68" s="37"/>
      <c r="S68" s="34">
        <v>122833.15240850524</v>
      </c>
      <c r="U68" s="35">
        <v>2580.7093872868213</v>
      </c>
      <c r="V68" s="34">
        <v>186807.37830762472</v>
      </c>
      <c r="W68" s="81"/>
      <c r="X68" s="81"/>
      <c r="Y68" s="81"/>
      <c r="Z68" s="31">
        <v>24224.509751213947</v>
      </c>
      <c r="AA68" s="33">
        <v>211031.88805883867</v>
      </c>
      <c r="AB68" s="32"/>
      <c r="AC68" s="31"/>
      <c r="AD68" s="44"/>
    </row>
    <row r="69" spans="1:30" s="36" customFormat="1" ht="15" customHeight="1">
      <c r="A69" s="55"/>
      <c r="B69" s="76"/>
      <c r="C69" s="76"/>
      <c r="D69" s="76"/>
      <c r="E69" s="76"/>
      <c r="F69" s="76"/>
      <c r="G69" s="76"/>
      <c r="H69" s="78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8"/>
      <c r="T69" s="79"/>
      <c r="U69" s="76"/>
      <c r="V69" s="78"/>
      <c r="W69" s="77"/>
      <c r="X69" s="77"/>
      <c r="Y69" s="77"/>
      <c r="Z69" s="76"/>
      <c r="AA69" s="75"/>
      <c r="AB69" s="32"/>
      <c r="AC69" s="44"/>
      <c r="AD69" s="44"/>
    </row>
    <row r="70" spans="1:30" s="36" customFormat="1" ht="15" customHeight="1">
      <c r="A70" s="17"/>
      <c r="B70" s="37"/>
      <c r="C70" s="37"/>
      <c r="D70" s="37"/>
      <c r="E70" s="37"/>
      <c r="F70" s="37"/>
      <c r="G70" s="37"/>
      <c r="H70" s="83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83"/>
      <c r="U70" s="37"/>
      <c r="V70" s="83"/>
      <c r="W70" s="85"/>
      <c r="X70" s="85"/>
      <c r="Y70" s="85"/>
      <c r="Z70" s="37"/>
      <c r="AA70" s="84"/>
      <c r="AB70" s="32"/>
      <c r="AC70" s="44"/>
      <c r="AD70" s="44"/>
    </row>
    <row r="71" spans="1:30" s="36" customFormat="1" ht="15" customHeight="1">
      <c r="A71" s="17">
        <v>1988</v>
      </c>
      <c r="B71" s="34">
        <v>11368.748915236845</v>
      </c>
      <c r="C71" s="34">
        <v>2707.1445173506509</v>
      </c>
      <c r="D71" s="34">
        <v>34577.226721853476</v>
      </c>
      <c r="E71" s="34">
        <v>3416.2027952632034</v>
      </c>
      <c r="F71" s="34">
        <v>12845.835756692843</v>
      </c>
      <c r="G71" s="37"/>
      <c r="H71" s="34">
        <v>64915.158706397022</v>
      </c>
      <c r="I71" s="37"/>
      <c r="J71" s="34">
        <v>25219.325430978686</v>
      </c>
      <c r="K71" s="34">
        <v>5667.6696050712708</v>
      </c>
      <c r="L71" s="34">
        <v>12516.788839948093</v>
      </c>
      <c r="M71" s="34">
        <v>5998.740886313637</v>
      </c>
      <c r="N71" s="34">
        <v>30547.822564120808</v>
      </c>
      <c r="O71" s="34">
        <v>13115.944504404886</v>
      </c>
      <c r="P71" s="34">
        <v>15806.250101050255</v>
      </c>
      <c r="Q71" s="34">
        <v>11552.491643524318</v>
      </c>
      <c r="R71" s="83"/>
      <c r="S71" s="34">
        <v>120425.03357541197</v>
      </c>
      <c r="U71" s="42">
        <v>2447.3558487943646</v>
      </c>
      <c r="V71" s="34">
        <v>182892.83643301463</v>
      </c>
      <c r="W71" s="82"/>
      <c r="X71" s="82"/>
      <c r="Y71" s="82"/>
      <c r="Z71" s="34">
        <v>22014.230183074164</v>
      </c>
      <c r="AA71" s="33">
        <v>204907.06661608873</v>
      </c>
      <c r="AB71" s="32"/>
      <c r="AC71" s="44"/>
      <c r="AD71" s="44"/>
    </row>
    <row r="72" spans="1:30" s="36" customFormat="1" ht="15" customHeight="1">
      <c r="A72" s="17" t="s">
        <v>26</v>
      </c>
      <c r="B72" s="38">
        <v>12132.688416878864</v>
      </c>
      <c r="C72" s="38">
        <v>2595.2579475546554</v>
      </c>
      <c r="D72" s="38">
        <v>33353.610988680106</v>
      </c>
      <c r="E72" s="38">
        <v>3301.6282768681131</v>
      </c>
      <c r="F72" s="38">
        <v>13522.978245883198</v>
      </c>
      <c r="G72" s="37"/>
      <c r="H72" s="34">
        <v>64906.163875864935</v>
      </c>
      <c r="I72" s="37"/>
      <c r="J72" s="38">
        <v>25672.199336166395</v>
      </c>
      <c r="K72" s="38">
        <v>6492.9612851658967</v>
      </c>
      <c r="L72" s="38">
        <v>12216.248105120931</v>
      </c>
      <c r="M72" s="38">
        <v>6082.1217710464998</v>
      </c>
      <c r="N72" s="38">
        <v>29053.743284291246</v>
      </c>
      <c r="O72" s="38">
        <v>12974.664246751054</v>
      </c>
      <c r="P72" s="38">
        <v>10802.155738663881</v>
      </c>
      <c r="Q72" s="38">
        <v>11186.968382364395</v>
      </c>
      <c r="R72" s="37"/>
      <c r="S72" s="34">
        <v>114481.06214957029</v>
      </c>
      <c r="U72" s="35">
        <v>2524.5623986587361</v>
      </c>
      <c r="V72" s="34">
        <v>176862.66362677648</v>
      </c>
      <c r="W72" s="81"/>
      <c r="X72" s="81"/>
      <c r="Y72" s="81"/>
      <c r="Z72" s="31">
        <v>22066.215125430528</v>
      </c>
      <c r="AA72" s="33">
        <v>198928.87875220701</v>
      </c>
      <c r="AB72" s="32"/>
      <c r="AC72" s="31"/>
      <c r="AD72" s="44"/>
    </row>
    <row r="73" spans="1:30" s="36" customFormat="1" ht="15" customHeight="1">
      <c r="A73" s="17" t="s">
        <v>25</v>
      </c>
      <c r="B73" s="38">
        <v>12886.025646359352</v>
      </c>
      <c r="C73" s="38">
        <v>2654.0993862120099</v>
      </c>
      <c r="D73" s="38">
        <v>35453.25723064784</v>
      </c>
      <c r="E73" s="38">
        <v>3419.5411408649024</v>
      </c>
      <c r="F73" s="38">
        <v>12939.604845176964</v>
      </c>
      <c r="G73" s="37"/>
      <c r="H73" s="34">
        <v>67352.528249261071</v>
      </c>
      <c r="I73" s="37"/>
      <c r="J73" s="38">
        <v>26301.025707581677</v>
      </c>
      <c r="K73" s="38">
        <v>5004.1254370144006</v>
      </c>
      <c r="L73" s="38">
        <v>12722.75545509356</v>
      </c>
      <c r="M73" s="38">
        <v>6164.832529650932</v>
      </c>
      <c r="N73" s="38">
        <v>30736.660972443304</v>
      </c>
      <c r="O73" s="38">
        <v>13194.454004365154</v>
      </c>
      <c r="P73" s="38">
        <v>17789.135686253263</v>
      </c>
      <c r="Q73" s="38">
        <v>11544.200717623931</v>
      </c>
      <c r="R73" s="37"/>
      <c r="S73" s="34">
        <v>123457.19051002621</v>
      </c>
      <c r="U73" s="35">
        <v>2453.2228923517632</v>
      </c>
      <c r="V73" s="34">
        <v>188356.4958669355</v>
      </c>
      <c r="W73" s="81"/>
      <c r="X73" s="81"/>
      <c r="Y73" s="81"/>
      <c r="Z73" s="31">
        <v>21147.277365182672</v>
      </c>
      <c r="AA73" s="33">
        <v>209503.77323211817</v>
      </c>
      <c r="AB73" s="32"/>
      <c r="AC73" s="31"/>
      <c r="AD73" s="44"/>
    </row>
    <row r="74" spans="1:30" s="36" customFormat="1" ht="15" customHeight="1">
      <c r="A74" s="17" t="s">
        <v>24</v>
      </c>
      <c r="B74" s="38">
        <v>9782.8827802997566</v>
      </c>
      <c r="C74" s="38">
        <v>2798.0374209802535</v>
      </c>
      <c r="D74" s="38">
        <v>35081.366802957331</v>
      </c>
      <c r="E74" s="38">
        <v>3560.735340720802</v>
      </c>
      <c r="F74" s="38">
        <v>12806.55338659402</v>
      </c>
      <c r="G74" s="37"/>
      <c r="H74" s="34">
        <v>64029.575731552162</v>
      </c>
      <c r="I74" s="37"/>
      <c r="J74" s="38">
        <v>24154.646899301224</v>
      </c>
      <c r="K74" s="38">
        <v>5207.5168697315121</v>
      </c>
      <c r="L74" s="38">
        <v>12465.672668690473</v>
      </c>
      <c r="M74" s="38">
        <v>5735.9606202248033</v>
      </c>
      <c r="N74" s="38">
        <v>30371.446630697126</v>
      </c>
      <c r="O74" s="38">
        <v>13139.889306809757</v>
      </c>
      <c r="P74" s="38">
        <v>18184.527967566068</v>
      </c>
      <c r="Q74" s="38">
        <v>11521.012580577826</v>
      </c>
      <c r="R74" s="37"/>
      <c r="S74" s="34">
        <v>120780.67354359878</v>
      </c>
      <c r="U74" s="35">
        <v>2377.5836386855995</v>
      </c>
      <c r="V74" s="34">
        <v>182432.66563646533</v>
      </c>
      <c r="W74" s="81"/>
      <c r="X74" s="81"/>
      <c r="Y74" s="81"/>
      <c r="Z74" s="31">
        <v>21480.529740094735</v>
      </c>
      <c r="AA74" s="33">
        <v>203913.19537656006</v>
      </c>
      <c r="AB74" s="32"/>
      <c r="AC74" s="31"/>
      <c r="AD74" s="44"/>
    </row>
    <row r="75" spans="1:30" s="36" customFormat="1" ht="15" customHeight="1">
      <c r="A75" s="17" t="s">
        <v>23</v>
      </c>
      <c r="B75" s="38">
        <v>10673.398817409412</v>
      </c>
      <c r="C75" s="38">
        <v>2781.1833146556833</v>
      </c>
      <c r="D75" s="38">
        <v>34420.671865128636</v>
      </c>
      <c r="E75" s="38">
        <v>3382.9064225989964</v>
      </c>
      <c r="F75" s="38">
        <v>12114.206549117189</v>
      </c>
      <c r="G75" s="37"/>
      <c r="H75" s="34">
        <v>63372.366968909912</v>
      </c>
      <c r="I75" s="37"/>
      <c r="J75" s="38">
        <v>24749.429780865452</v>
      </c>
      <c r="K75" s="38">
        <v>5966.074828373271</v>
      </c>
      <c r="L75" s="38">
        <v>12662.479130887403</v>
      </c>
      <c r="M75" s="38">
        <v>6012.048624332313</v>
      </c>
      <c r="N75" s="38">
        <v>32029.439369051557</v>
      </c>
      <c r="O75" s="38">
        <v>13154.770459693578</v>
      </c>
      <c r="P75" s="38">
        <v>16449.181011717803</v>
      </c>
      <c r="Q75" s="38">
        <v>11957.784893531121</v>
      </c>
      <c r="R75" s="37"/>
      <c r="S75" s="34">
        <v>122981.20809845251</v>
      </c>
      <c r="U75" s="35">
        <v>2434.0544654813607</v>
      </c>
      <c r="V75" s="34">
        <v>183919.52060188106</v>
      </c>
      <c r="W75" s="81"/>
      <c r="X75" s="81"/>
      <c r="Y75" s="81"/>
      <c r="Z75" s="31">
        <v>23362.898501588712</v>
      </c>
      <c r="AA75" s="33">
        <v>207282.41910346976</v>
      </c>
      <c r="AB75" s="32"/>
      <c r="AC75" s="31"/>
      <c r="AD75" s="44"/>
    </row>
    <row r="76" spans="1:30" s="36" customFormat="1" ht="15" customHeight="1">
      <c r="A76" s="55"/>
      <c r="B76" s="76"/>
      <c r="C76" s="76"/>
      <c r="D76" s="76"/>
      <c r="E76" s="76"/>
      <c r="F76" s="76"/>
      <c r="G76" s="76"/>
      <c r="H76" s="78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8"/>
      <c r="T76" s="79"/>
      <c r="U76" s="76"/>
      <c r="V76" s="78"/>
      <c r="W76" s="77"/>
      <c r="X76" s="77"/>
      <c r="Y76" s="77"/>
      <c r="Z76" s="76"/>
      <c r="AA76" s="75"/>
      <c r="AB76" s="32"/>
      <c r="AC76" s="44"/>
      <c r="AD76" s="44"/>
    </row>
    <row r="77" spans="1:30" s="36" customFormat="1" ht="15" customHeight="1">
      <c r="A77" s="17"/>
      <c r="B77" s="37"/>
      <c r="C77" s="37"/>
      <c r="D77" s="37"/>
      <c r="E77" s="37"/>
      <c r="F77" s="37"/>
      <c r="G77" s="37"/>
      <c r="H77" s="83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83"/>
      <c r="U77" s="37"/>
      <c r="V77" s="83"/>
      <c r="W77" s="85"/>
      <c r="X77" s="85"/>
      <c r="Y77" s="85"/>
      <c r="Z77" s="37"/>
      <c r="AA77" s="86"/>
      <c r="AB77" s="32"/>
      <c r="AC77" s="44"/>
      <c r="AD77" s="44"/>
    </row>
    <row r="78" spans="1:30" s="36" customFormat="1" ht="15" customHeight="1">
      <c r="A78" s="17">
        <v>1989</v>
      </c>
      <c r="B78" s="34">
        <v>10434.497503089362</v>
      </c>
      <c r="C78" s="34">
        <v>2686.2114412523256</v>
      </c>
      <c r="D78" s="34">
        <v>31988.339874754176</v>
      </c>
      <c r="E78" s="34">
        <v>3252.1140582132725</v>
      </c>
      <c r="F78" s="34">
        <v>9783.3365979319624</v>
      </c>
      <c r="G78" s="37"/>
      <c r="H78" s="34">
        <v>58144.4994752411</v>
      </c>
      <c r="I78" s="37"/>
      <c r="J78" s="34">
        <v>22678.041105218894</v>
      </c>
      <c r="K78" s="34">
        <v>5252.316993268335</v>
      </c>
      <c r="L78" s="34">
        <v>12379.463565159833</v>
      </c>
      <c r="M78" s="34">
        <v>5513.7945338547279</v>
      </c>
      <c r="N78" s="34">
        <v>27770.161091105059</v>
      </c>
      <c r="O78" s="34">
        <v>12989.914517703441</v>
      </c>
      <c r="P78" s="34">
        <v>15945.57303702936</v>
      </c>
      <c r="Q78" s="34">
        <v>11226.929431780542</v>
      </c>
      <c r="R78" s="37"/>
      <c r="S78" s="34">
        <v>113756.1942751202</v>
      </c>
      <c r="U78" s="42">
        <v>2064.6815693854983</v>
      </c>
      <c r="V78" s="34">
        <v>169836.01218097581</v>
      </c>
      <c r="W78" s="82"/>
      <c r="X78" s="82"/>
      <c r="Y78" s="82"/>
      <c r="Z78" s="34">
        <v>20405.958836735674</v>
      </c>
      <c r="AA78" s="33">
        <v>190241.97101771148</v>
      </c>
      <c r="AB78" s="32"/>
      <c r="AC78" s="44"/>
      <c r="AD78" s="44"/>
    </row>
    <row r="79" spans="1:30" s="36" customFormat="1" ht="15" customHeight="1">
      <c r="A79" s="17" t="s">
        <v>26</v>
      </c>
      <c r="B79" s="38">
        <v>10761.653052277657</v>
      </c>
      <c r="C79" s="38">
        <v>2582.1999886185404</v>
      </c>
      <c r="D79" s="38">
        <v>31829.668598604043</v>
      </c>
      <c r="E79" s="38">
        <v>3015.2345710589643</v>
      </c>
      <c r="F79" s="38">
        <v>10733.539230161046</v>
      </c>
      <c r="G79" s="37"/>
      <c r="H79" s="34">
        <v>58922.295440720256</v>
      </c>
      <c r="I79" s="37"/>
      <c r="J79" s="38">
        <v>24137.43906654316</v>
      </c>
      <c r="K79" s="38">
        <v>6849.5995895220112</v>
      </c>
      <c r="L79" s="38">
        <v>12109.215950733627</v>
      </c>
      <c r="M79" s="38">
        <v>6503.5510861073199</v>
      </c>
      <c r="N79" s="38">
        <v>28085.026676281675</v>
      </c>
      <c r="O79" s="38">
        <v>13172.072631430859</v>
      </c>
      <c r="P79" s="38">
        <v>11622.247919600235</v>
      </c>
      <c r="Q79" s="38">
        <v>11077.00276293469</v>
      </c>
      <c r="R79" s="37"/>
      <c r="S79" s="34">
        <v>113556.15568315357</v>
      </c>
      <c r="U79" s="35">
        <v>2769.597340655785</v>
      </c>
      <c r="V79" s="34">
        <v>169708.85378321804</v>
      </c>
      <c r="W79" s="81"/>
      <c r="X79" s="81"/>
      <c r="Y79" s="81"/>
      <c r="Z79" s="31">
        <v>20820.469160020646</v>
      </c>
      <c r="AA79" s="33">
        <v>190529.32294323869</v>
      </c>
      <c r="AB79" s="32"/>
      <c r="AC79" s="31"/>
      <c r="AD79" s="44"/>
    </row>
    <row r="80" spans="1:30" s="36" customFormat="1" ht="15" customHeight="1">
      <c r="A80" s="17" t="s">
        <v>25</v>
      </c>
      <c r="B80" s="38">
        <v>10499.376728032932</v>
      </c>
      <c r="C80" s="38">
        <v>2610.287287572728</v>
      </c>
      <c r="D80" s="38">
        <v>31964.285454081255</v>
      </c>
      <c r="E80" s="38">
        <v>3266.0197265442284</v>
      </c>
      <c r="F80" s="38">
        <v>10109.632209933499</v>
      </c>
      <c r="G80" s="37"/>
      <c r="H80" s="34">
        <v>58449.601406164642</v>
      </c>
      <c r="I80" s="37"/>
      <c r="J80" s="38">
        <v>21907.795610770314</v>
      </c>
      <c r="K80" s="38">
        <v>4907.1382185442963</v>
      </c>
      <c r="L80" s="38">
        <v>12959.475295731769</v>
      </c>
      <c r="M80" s="38">
        <v>5888.164167123733</v>
      </c>
      <c r="N80" s="38">
        <v>27623.127115493386</v>
      </c>
      <c r="O80" s="38">
        <v>13027.394926688674</v>
      </c>
      <c r="P80" s="38">
        <v>17930.29465332274</v>
      </c>
      <c r="Q80" s="38">
        <v>11316.349465063668</v>
      </c>
      <c r="R80" s="37"/>
      <c r="S80" s="34">
        <v>115559.73945273859</v>
      </c>
      <c r="U80" s="35">
        <v>2192.9963306315349</v>
      </c>
      <c r="V80" s="34">
        <v>171816.3445282717</v>
      </c>
      <c r="W80" s="81"/>
      <c r="X80" s="81"/>
      <c r="Y80" s="81"/>
      <c r="Z80" s="31">
        <v>19079.585848629456</v>
      </c>
      <c r="AA80" s="33">
        <v>190895.93037690115</v>
      </c>
      <c r="AB80" s="32"/>
      <c r="AC80" s="31"/>
      <c r="AD80" s="44"/>
    </row>
    <row r="81" spans="1:30" s="36" customFormat="1" ht="15" customHeight="1">
      <c r="A81" s="17" t="s">
        <v>24</v>
      </c>
      <c r="B81" s="38">
        <v>9354.7565441616553</v>
      </c>
      <c r="C81" s="38">
        <v>2775.9832488400839</v>
      </c>
      <c r="D81" s="38">
        <v>31363.656910275251</v>
      </c>
      <c r="E81" s="38">
        <v>3343.4082526714155</v>
      </c>
      <c r="F81" s="38">
        <v>8244.8961428506573</v>
      </c>
      <c r="G81" s="37"/>
      <c r="H81" s="34">
        <v>55082.701098799065</v>
      </c>
      <c r="I81" s="37"/>
      <c r="J81" s="38">
        <v>21182.940161305534</v>
      </c>
      <c r="K81" s="38">
        <v>4376.3188595070906</v>
      </c>
      <c r="L81" s="38">
        <v>11713.905499114202</v>
      </c>
      <c r="M81" s="38">
        <v>4288.1270078694406</v>
      </c>
      <c r="N81" s="38">
        <v>26533.53539947169</v>
      </c>
      <c r="O81" s="38">
        <v>12797.830587286711</v>
      </c>
      <c r="P81" s="38">
        <v>17976.717579937686</v>
      </c>
      <c r="Q81" s="38">
        <v>10963.368725511888</v>
      </c>
      <c r="R81" s="37"/>
      <c r="S81" s="34">
        <v>109832.74382000424</v>
      </c>
      <c r="U81" s="35">
        <v>1235.0945890996197</v>
      </c>
      <c r="V81" s="34">
        <v>163680.35032970368</v>
      </c>
      <c r="W81" s="81"/>
      <c r="X81" s="81"/>
      <c r="Y81" s="81"/>
      <c r="Z81" s="31">
        <v>19256.81593569164</v>
      </c>
      <c r="AA81" s="33">
        <v>182937.16626539532</v>
      </c>
      <c r="AB81" s="32"/>
      <c r="AC81" s="31"/>
      <c r="AD81" s="44"/>
    </row>
    <row r="82" spans="1:30" s="36" customFormat="1" ht="15" customHeight="1">
      <c r="A82" s="17" t="s">
        <v>23</v>
      </c>
      <c r="B82" s="38">
        <v>11122.2036878852</v>
      </c>
      <c r="C82" s="38">
        <v>2776.3752399779491</v>
      </c>
      <c r="D82" s="38">
        <v>32795.748536056155</v>
      </c>
      <c r="E82" s="38">
        <v>3383.7936825784823</v>
      </c>
      <c r="F82" s="38">
        <v>10045.27880878265</v>
      </c>
      <c r="G82" s="37"/>
      <c r="H82" s="34">
        <v>60123.399955280438</v>
      </c>
      <c r="I82" s="37"/>
      <c r="J82" s="38">
        <v>23483.989582256563</v>
      </c>
      <c r="K82" s="38">
        <v>4876.2113054999418</v>
      </c>
      <c r="L82" s="38">
        <v>12735.257515059729</v>
      </c>
      <c r="M82" s="38">
        <v>5375.335874318419</v>
      </c>
      <c r="N82" s="38">
        <v>28838.955173173486</v>
      </c>
      <c r="O82" s="38">
        <v>12962.359925407514</v>
      </c>
      <c r="P82" s="38">
        <v>16253.031995256784</v>
      </c>
      <c r="Q82" s="38">
        <v>11550.996773611922</v>
      </c>
      <c r="R82" s="37"/>
      <c r="S82" s="34">
        <v>116076.13814458434</v>
      </c>
      <c r="U82" s="35">
        <v>2061.0380171550532</v>
      </c>
      <c r="V82" s="34">
        <v>174138.50008270974</v>
      </c>
      <c r="W82" s="81"/>
      <c r="X82" s="81"/>
      <c r="Y82" s="81"/>
      <c r="Z82" s="31">
        <v>22466.964402600952</v>
      </c>
      <c r="AA82" s="33">
        <v>196605.46448531069</v>
      </c>
      <c r="AB82" s="32"/>
      <c r="AC82" s="31"/>
      <c r="AD82" s="44"/>
    </row>
    <row r="83" spans="1:30" s="36" customFormat="1" ht="15" customHeight="1">
      <c r="A83" s="55"/>
      <c r="B83" s="76"/>
      <c r="C83" s="76"/>
      <c r="D83" s="76"/>
      <c r="E83" s="76"/>
      <c r="F83" s="76"/>
      <c r="G83" s="76"/>
      <c r="H83" s="78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8"/>
      <c r="T83" s="79"/>
      <c r="U83" s="76"/>
      <c r="V83" s="78"/>
      <c r="W83" s="77"/>
      <c r="X83" s="77"/>
      <c r="Y83" s="77"/>
      <c r="Z83" s="76"/>
      <c r="AA83" s="75"/>
      <c r="AB83" s="32"/>
      <c r="AC83" s="44"/>
      <c r="AD83" s="44"/>
    </row>
    <row r="84" spans="1:30" s="36" customFormat="1" ht="15" customHeight="1">
      <c r="A84" s="17"/>
      <c r="B84" s="37"/>
      <c r="C84" s="37"/>
      <c r="D84" s="37"/>
      <c r="E84" s="37"/>
      <c r="F84" s="37"/>
      <c r="G84" s="37"/>
      <c r="H84" s="83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83"/>
      <c r="U84" s="37"/>
      <c r="V84" s="83"/>
      <c r="W84" s="85"/>
      <c r="X84" s="85"/>
      <c r="Y84" s="85"/>
      <c r="Z84" s="37"/>
      <c r="AA84" s="84"/>
      <c r="AB84" s="32"/>
      <c r="AC84" s="44"/>
      <c r="AD84" s="44"/>
    </row>
    <row r="85" spans="1:30" s="36" customFormat="1" ht="15" customHeight="1">
      <c r="A85" s="17">
        <v>1990</v>
      </c>
      <c r="B85" s="34">
        <v>11319.396182697983</v>
      </c>
      <c r="C85" s="34">
        <v>2763.0104663387851</v>
      </c>
      <c r="D85" s="34">
        <v>30258.712058266108</v>
      </c>
      <c r="E85" s="34">
        <v>3489.3769470680008</v>
      </c>
      <c r="F85" s="34">
        <v>7830.8458696904218</v>
      </c>
      <c r="G85" s="83"/>
      <c r="H85" s="34">
        <v>55661.341524061296</v>
      </c>
      <c r="I85" s="37"/>
      <c r="J85" s="34">
        <v>23264.091815111307</v>
      </c>
      <c r="K85" s="34">
        <v>4340.6157781494567</v>
      </c>
      <c r="L85" s="34">
        <v>11987.635981433494</v>
      </c>
      <c r="M85" s="34">
        <v>4342.3840860937435</v>
      </c>
      <c r="N85" s="34">
        <v>27708.018441293039</v>
      </c>
      <c r="O85" s="34">
        <v>12891.626965108031</v>
      </c>
      <c r="P85" s="34">
        <v>15976.796573884494</v>
      </c>
      <c r="Q85" s="34">
        <v>11299.75240992494</v>
      </c>
      <c r="R85" s="83"/>
      <c r="S85" s="34">
        <v>111810.9220509985</v>
      </c>
      <c r="U85" s="42">
        <v>1367.666342919829</v>
      </c>
      <c r="V85" s="34">
        <v>166104.59723213996</v>
      </c>
      <c r="W85" s="82"/>
      <c r="X85" s="82"/>
      <c r="Y85" s="82"/>
      <c r="Z85" s="34">
        <v>19443.697668175904</v>
      </c>
      <c r="AA85" s="33">
        <v>185548.29490031587</v>
      </c>
      <c r="AB85" s="32"/>
      <c r="AC85" s="44"/>
      <c r="AD85" s="44"/>
    </row>
    <row r="86" spans="1:30" s="36" customFormat="1" ht="15" customHeight="1">
      <c r="A86" s="17" t="s">
        <v>26</v>
      </c>
      <c r="B86" s="38">
        <v>11023.03180170361</v>
      </c>
      <c r="C86" s="38">
        <v>2700.6200119894679</v>
      </c>
      <c r="D86" s="38">
        <v>25941.934661454907</v>
      </c>
      <c r="E86" s="38">
        <v>3132.5108360382619</v>
      </c>
      <c r="F86" s="38">
        <v>6195.9673122887089</v>
      </c>
      <c r="G86" s="37"/>
      <c r="H86" s="34">
        <v>48994.064623474951</v>
      </c>
      <c r="I86" s="37"/>
      <c r="J86" s="38">
        <v>20962.749884206125</v>
      </c>
      <c r="K86" s="38">
        <v>5660.0796267114583</v>
      </c>
      <c r="L86" s="38">
        <v>11228.588813854194</v>
      </c>
      <c r="M86" s="38">
        <v>3514.0829327719039</v>
      </c>
      <c r="N86" s="38">
        <v>24526.159829688087</v>
      </c>
      <c r="O86" s="38">
        <v>12667.848402236339</v>
      </c>
      <c r="P86" s="38">
        <v>11495.313340719884</v>
      </c>
      <c r="Q86" s="38">
        <v>10744.016231935209</v>
      </c>
      <c r="R86" s="37"/>
      <c r="S86" s="34">
        <v>100798.83906212321</v>
      </c>
      <c r="U86" s="35">
        <v>1174.5466300100836</v>
      </c>
      <c r="V86" s="34">
        <v>148618.35705558807</v>
      </c>
      <c r="W86" s="81"/>
      <c r="X86" s="81"/>
      <c r="Y86" s="81"/>
      <c r="Z86" s="31">
        <v>18186.647511637864</v>
      </c>
      <c r="AA86" s="33">
        <v>166805.00456722593</v>
      </c>
      <c r="AB86" s="32"/>
      <c r="AC86" s="31"/>
      <c r="AD86" s="44"/>
    </row>
    <row r="87" spans="1:30" s="36" customFormat="1" ht="15" customHeight="1">
      <c r="A87" s="17" t="s">
        <v>25</v>
      </c>
      <c r="B87" s="38">
        <v>12947.32994719485</v>
      </c>
      <c r="C87" s="38">
        <v>2759.0452710684363</v>
      </c>
      <c r="D87" s="38">
        <v>29228.001637075893</v>
      </c>
      <c r="E87" s="38">
        <v>3415.685883860328</v>
      </c>
      <c r="F87" s="38">
        <v>7119.5582602074937</v>
      </c>
      <c r="G87" s="37"/>
      <c r="H87" s="34">
        <v>55469.620999407001</v>
      </c>
      <c r="I87" s="37"/>
      <c r="J87" s="38">
        <v>22660.2334397427</v>
      </c>
      <c r="K87" s="38">
        <v>3656.8399570570987</v>
      </c>
      <c r="L87" s="38">
        <v>11820.040842261385</v>
      </c>
      <c r="M87" s="38">
        <v>3817.2426457600554</v>
      </c>
      <c r="N87" s="38">
        <v>27178.821226051481</v>
      </c>
      <c r="O87" s="38">
        <v>12824.070729104518</v>
      </c>
      <c r="P87" s="38">
        <v>17723.14208264391</v>
      </c>
      <c r="Q87" s="38">
        <v>11243.791254432495</v>
      </c>
      <c r="R87" s="37"/>
      <c r="S87" s="34">
        <v>110924.18217705363</v>
      </c>
      <c r="U87" s="35">
        <v>1133.1391036555754</v>
      </c>
      <c r="V87" s="34">
        <v>165260.66407280506</v>
      </c>
      <c r="W87" s="81"/>
      <c r="X87" s="81"/>
      <c r="Y87" s="81"/>
      <c r="Z87" s="31">
        <v>17893.334373628109</v>
      </c>
      <c r="AA87" s="33">
        <v>183153.99844643316</v>
      </c>
      <c r="AB87" s="32"/>
      <c r="AC87" s="31"/>
      <c r="AD87" s="44"/>
    </row>
    <row r="88" spans="1:30" s="36" customFormat="1" ht="15" customHeight="1">
      <c r="A88" s="17" t="s">
        <v>24</v>
      </c>
      <c r="B88" s="38">
        <v>9689.2395780457355</v>
      </c>
      <c r="C88" s="38">
        <v>2814.8956155541614</v>
      </c>
      <c r="D88" s="38">
        <v>32585.371754594864</v>
      </c>
      <c r="E88" s="38">
        <v>3736.3748971644131</v>
      </c>
      <c r="F88" s="38">
        <v>8855.2602773608105</v>
      </c>
      <c r="G88" s="37"/>
      <c r="H88" s="34">
        <v>57681.142122719983</v>
      </c>
      <c r="I88" s="37"/>
      <c r="J88" s="38">
        <v>24462.924118869149</v>
      </c>
      <c r="K88" s="38">
        <v>3726.6720994795878</v>
      </c>
      <c r="L88" s="38">
        <v>12349.739217643813</v>
      </c>
      <c r="M88" s="38">
        <v>4575.878934395374</v>
      </c>
      <c r="N88" s="38">
        <v>28297.468865160106</v>
      </c>
      <c r="O88" s="38">
        <v>12937.320568767269</v>
      </c>
      <c r="P88" s="38">
        <v>18222.916544977612</v>
      </c>
      <c r="Q88" s="38">
        <v>11297.524954934333</v>
      </c>
      <c r="R88" s="37"/>
      <c r="S88" s="34">
        <v>115870.44530422725</v>
      </c>
      <c r="U88" s="35">
        <v>1431.1845542931676</v>
      </c>
      <c r="V88" s="34">
        <v>172120.40287265406</v>
      </c>
      <c r="W88" s="81"/>
      <c r="X88" s="81"/>
      <c r="Y88" s="81"/>
      <c r="Z88" s="31">
        <v>19330.053759384435</v>
      </c>
      <c r="AA88" s="33">
        <v>191450.45663203849</v>
      </c>
      <c r="AB88" s="32"/>
      <c r="AC88" s="31"/>
      <c r="AD88" s="44"/>
    </row>
    <row r="89" spans="1:30" s="36" customFormat="1" ht="15" customHeight="1">
      <c r="A89" s="17" t="s">
        <v>23</v>
      </c>
      <c r="B89" s="38">
        <v>11617.983403847737</v>
      </c>
      <c r="C89" s="38">
        <v>2777.480966743075</v>
      </c>
      <c r="D89" s="38">
        <v>33279.540179938784</v>
      </c>
      <c r="E89" s="38">
        <v>3672.9361712090013</v>
      </c>
      <c r="F89" s="38">
        <v>9152.5976289046739</v>
      </c>
      <c r="G89" s="37"/>
      <c r="H89" s="34">
        <v>60500.53835064327</v>
      </c>
      <c r="I89" s="37"/>
      <c r="J89" s="38">
        <v>24970.459817627252</v>
      </c>
      <c r="K89" s="38">
        <v>4318.8714293496805</v>
      </c>
      <c r="L89" s="38">
        <v>12552.175051974586</v>
      </c>
      <c r="M89" s="38">
        <v>5462.3318314476392</v>
      </c>
      <c r="N89" s="38">
        <v>30829.623844272493</v>
      </c>
      <c r="O89" s="38">
        <v>13137.268160323996</v>
      </c>
      <c r="P89" s="38">
        <v>16465.814327196567</v>
      </c>
      <c r="Q89" s="38">
        <v>11913.677198397723</v>
      </c>
      <c r="R89" s="37"/>
      <c r="S89" s="34">
        <v>119650.22166058994</v>
      </c>
      <c r="U89" s="35">
        <v>1731.7950837204896</v>
      </c>
      <c r="V89" s="34">
        <v>178418.96492751272</v>
      </c>
      <c r="W89" s="81"/>
      <c r="X89" s="81"/>
      <c r="Y89" s="81"/>
      <c r="Z89" s="31">
        <v>22364.755028053212</v>
      </c>
      <c r="AA89" s="33">
        <v>200783.71995556593</v>
      </c>
      <c r="AB89" s="32"/>
      <c r="AC89" s="31"/>
      <c r="AD89" s="44"/>
    </row>
    <row r="90" spans="1:30" s="36" customFormat="1" ht="15" customHeight="1">
      <c r="A90" s="55"/>
      <c r="B90" s="76"/>
      <c r="C90" s="76"/>
      <c r="D90" s="76"/>
      <c r="E90" s="76"/>
      <c r="F90" s="76"/>
      <c r="G90" s="76"/>
      <c r="H90" s="78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8"/>
      <c r="T90" s="79"/>
      <c r="U90" s="76"/>
      <c r="V90" s="78"/>
      <c r="W90" s="77"/>
      <c r="X90" s="77"/>
      <c r="Y90" s="77"/>
      <c r="Z90" s="76"/>
      <c r="AA90" s="75"/>
      <c r="AB90" s="32"/>
      <c r="AC90" s="44"/>
      <c r="AD90" s="44"/>
    </row>
    <row r="91" spans="1:30" s="36" customFormat="1" ht="15" customHeight="1">
      <c r="A91" s="17"/>
      <c r="B91" s="37"/>
      <c r="C91" s="37"/>
      <c r="D91" s="37"/>
      <c r="E91" s="37"/>
      <c r="F91" s="37"/>
      <c r="G91" s="37"/>
      <c r="H91" s="83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83"/>
      <c r="U91" s="37"/>
      <c r="V91" s="83"/>
      <c r="W91" s="85"/>
      <c r="X91" s="85"/>
      <c r="Y91" s="85"/>
      <c r="Z91" s="37"/>
      <c r="AA91" s="84"/>
      <c r="AB91" s="32"/>
      <c r="AC91" s="44"/>
      <c r="AD91" s="44"/>
    </row>
    <row r="92" spans="1:30" s="36" customFormat="1" ht="15" customHeight="1">
      <c r="A92" s="17">
        <v>1991</v>
      </c>
      <c r="B92" s="34">
        <v>11782.715807102642</v>
      </c>
      <c r="C92" s="34">
        <v>2843.0057443747305</v>
      </c>
      <c r="D92" s="34">
        <v>33398.406170765375</v>
      </c>
      <c r="E92" s="34">
        <v>3605.4841141276461</v>
      </c>
      <c r="F92" s="34">
        <v>10168.051453794385</v>
      </c>
      <c r="G92" s="83"/>
      <c r="H92" s="34">
        <v>61797.663290164783</v>
      </c>
      <c r="I92" s="37"/>
      <c r="J92" s="34">
        <v>27300.113185655209</v>
      </c>
      <c r="K92" s="34">
        <v>4424.8582414682787</v>
      </c>
      <c r="L92" s="34">
        <v>13202.805026875252</v>
      </c>
      <c r="M92" s="34">
        <v>5816.9682817768771</v>
      </c>
      <c r="N92" s="34">
        <v>30004.659699231346</v>
      </c>
      <c r="O92" s="34">
        <v>13268.708443848072</v>
      </c>
      <c r="P92" s="34">
        <v>16465.13738579351</v>
      </c>
      <c r="Q92" s="34">
        <v>11825.129965830471</v>
      </c>
      <c r="R92" s="83"/>
      <c r="S92" s="34">
        <v>122308.380230479</v>
      </c>
      <c r="U92" s="42">
        <v>1905.1691137452954</v>
      </c>
      <c r="V92" s="34">
        <v>182200.87440689848</v>
      </c>
      <c r="W92" s="82"/>
      <c r="X92" s="82"/>
      <c r="Y92" s="82"/>
      <c r="Z92" s="34">
        <v>20293.751442008448</v>
      </c>
      <c r="AA92" s="33">
        <v>202494.62584890696</v>
      </c>
      <c r="AB92" s="32"/>
      <c r="AC92" s="44"/>
      <c r="AD92" s="44"/>
    </row>
    <row r="93" spans="1:30" s="36" customFormat="1" ht="15" customHeight="1">
      <c r="A93" s="17" t="s">
        <v>26</v>
      </c>
      <c r="B93" s="38">
        <v>12002.76982689843</v>
      </c>
      <c r="C93" s="38">
        <v>2658.1771863805575</v>
      </c>
      <c r="D93" s="38">
        <v>27570.901664012279</v>
      </c>
      <c r="E93" s="38">
        <v>3278.1729680383733</v>
      </c>
      <c r="F93" s="38">
        <v>8300.6102985013404</v>
      </c>
      <c r="G93" s="37"/>
      <c r="H93" s="34">
        <v>53810.63194383098</v>
      </c>
      <c r="I93" s="37"/>
      <c r="J93" s="38">
        <v>22884.397288560482</v>
      </c>
      <c r="K93" s="38">
        <v>5704.5528104997848</v>
      </c>
      <c r="L93" s="38">
        <v>12401.239288812487</v>
      </c>
      <c r="M93" s="38">
        <v>5061.9014497611042</v>
      </c>
      <c r="N93" s="38">
        <v>26893.394194950422</v>
      </c>
      <c r="O93" s="38">
        <v>12884.478805259771</v>
      </c>
      <c r="P93" s="38">
        <v>11691.892450511028</v>
      </c>
      <c r="Q93" s="38">
        <v>11032.13612992522</v>
      </c>
      <c r="R93" s="37"/>
      <c r="S93" s="34">
        <v>108553.99241828031</v>
      </c>
      <c r="U93" s="35">
        <v>1725.0085959081573</v>
      </c>
      <c r="V93" s="34">
        <v>160639.61576620315</v>
      </c>
      <c r="W93" s="81"/>
      <c r="X93" s="81"/>
      <c r="Y93" s="81"/>
      <c r="Z93" s="31">
        <v>18960.090097831908</v>
      </c>
      <c r="AA93" s="33">
        <v>179599.70586403506</v>
      </c>
      <c r="AB93" s="32"/>
      <c r="AC93" s="31"/>
      <c r="AD93" s="44"/>
    </row>
    <row r="94" spans="1:30" s="36" customFormat="1" ht="15" customHeight="1">
      <c r="A94" s="17" t="s">
        <v>25</v>
      </c>
      <c r="B94" s="38">
        <v>13382.075472343187</v>
      </c>
      <c r="C94" s="38">
        <v>2737.2801885169697</v>
      </c>
      <c r="D94" s="38">
        <v>33828.216045897956</v>
      </c>
      <c r="E94" s="38">
        <v>3545.8427994287708</v>
      </c>
      <c r="F94" s="38">
        <v>9357.1891780015067</v>
      </c>
      <c r="G94" s="37"/>
      <c r="H94" s="34">
        <v>62850.603684188391</v>
      </c>
      <c r="I94" s="37"/>
      <c r="J94" s="38">
        <v>27545.595247520519</v>
      </c>
      <c r="K94" s="38">
        <v>3492.0495685558258</v>
      </c>
      <c r="L94" s="38">
        <v>13379.702278084818</v>
      </c>
      <c r="M94" s="38">
        <v>5574.8844663268455</v>
      </c>
      <c r="N94" s="38">
        <v>30282.38573268507</v>
      </c>
      <c r="O94" s="38">
        <v>13334.599085069034</v>
      </c>
      <c r="P94" s="38">
        <v>18428.703271529335</v>
      </c>
      <c r="Q94" s="38">
        <v>11633.919105905781</v>
      </c>
      <c r="R94" s="37"/>
      <c r="S94" s="34">
        <v>123671.83875567722</v>
      </c>
      <c r="U94" s="35">
        <v>1811.1679837442973</v>
      </c>
      <c r="V94" s="34">
        <v>184711.27445612132</v>
      </c>
      <c r="W94" s="81"/>
      <c r="X94" s="81"/>
      <c r="Y94" s="81"/>
      <c r="Z94" s="31">
        <v>18988.128503321866</v>
      </c>
      <c r="AA94" s="33">
        <v>203699.40295944319</v>
      </c>
      <c r="AB94" s="32"/>
      <c r="AC94" s="31"/>
      <c r="AD94" s="44"/>
    </row>
    <row r="95" spans="1:30" s="36" customFormat="1" ht="15" customHeight="1">
      <c r="A95" s="17" t="s">
        <v>24</v>
      </c>
      <c r="B95" s="38">
        <v>9793.4429909270129</v>
      </c>
      <c r="C95" s="38">
        <v>2867.0027876965096</v>
      </c>
      <c r="D95" s="38">
        <v>35639.839534520877</v>
      </c>
      <c r="E95" s="38">
        <v>3919.0406762098519</v>
      </c>
      <c r="F95" s="38">
        <v>11234.204129628211</v>
      </c>
      <c r="G95" s="37"/>
      <c r="H95" s="34">
        <v>63453.53011898246</v>
      </c>
      <c r="I95" s="37"/>
      <c r="J95" s="38">
        <v>28718.38512400254</v>
      </c>
      <c r="K95" s="38">
        <v>3775.4637904606166</v>
      </c>
      <c r="L95" s="38">
        <v>13279.163659811386</v>
      </c>
      <c r="M95" s="38">
        <v>6016.1930322380877</v>
      </c>
      <c r="N95" s="38">
        <v>30610.902543489945</v>
      </c>
      <c r="O95" s="38">
        <v>13402.139421223836</v>
      </c>
      <c r="P95" s="38">
        <v>18877.639067452397</v>
      </c>
      <c r="Q95" s="38">
        <v>12009.30797299086</v>
      </c>
      <c r="R95" s="37"/>
      <c r="S95" s="34">
        <v>126689.19461166968</v>
      </c>
      <c r="U95" s="35">
        <v>1940.8180213681076</v>
      </c>
      <c r="V95" s="34">
        <v>188201.90670928403</v>
      </c>
      <c r="W95" s="81"/>
      <c r="X95" s="81"/>
      <c r="Y95" s="81"/>
      <c r="Z95" s="31">
        <v>20098.351132695676</v>
      </c>
      <c r="AA95" s="33">
        <v>208300.25784197971</v>
      </c>
      <c r="AB95" s="32"/>
      <c r="AC95" s="31"/>
      <c r="AD95" s="44"/>
    </row>
    <row r="96" spans="1:30" s="36" customFormat="1" ht="15" customHeight="1">
      <c r="A96" s="17" t="s">
        <v>23</v>
      </c>
      <c r="B96" s="38">
        <v>11952.57493824194</v>
      </c>
      <c r="C96" s="38">
        <v>3109.5628149048839</v>
      </c>
      <c r="D96" s="38">
        <v>36554.667438630408</v>
      </c>
      <c r="E96" s="38">
        <v>3678.8800128335879</v>
      </c>
      <c r="F96" s="38">
        <v>11780.202209046482</v>
      </c>
      <c r="G96" s="37"/>
      <c r="H96" s="34">
        <v>67075.887413657299</v>
      </c>
      <c r="I96" s="37"/>
      <c r="J96" s="38">
        <v>30052.075082537289</v>
      </c>
      <c r="K96" s="38">
        <v>4727.3667963568896</v>
      </c>
      <c r="L96" s="38">
        <v>13751.114880792313</v>
      </c>
      <c r="M96" s="38">
        <v>6614.8941787814747</v>
      </c>
      <c r="N96" s="38">
        <v>32231.95632579994</v>
      </c>
      <c r="O96" s="38">
        <v>13453.616463839653</v>
      </c>
      <c r="P96" s="38">
        <v>16862.314753681283</v>
      </c>
      <c r="Q96" s="38">
        <v>12625.156654500024</v>
      </c>
      <c r="R96" s="37"/>
      <c r="S96" s="34">
        <v>130318.49513628887</v>
      </c>
      <c r="U96" s="35">
        <v>2143.6818539606188</v>
      </c>
      <c r="V96" s="34">
        <v>195250.70069598555</v>
      </c>
      <c r="W96" s="81"/>
      <c r="X96" s="81"/>
      <c r="Y96" s="81"/>
      <c r="Z96" s="31">
        <v>23128.436034184338</v>
      </c>
      <c r="AA96" s="33">
        <v>218379.13673016988</v>
      </c>
      <c r="AB96" s="32"/>
      <c r="AC96" s="31"/>
      <c r="AD96" s="44"/>
    </row>
    <row r="97" spans="1:74" s="36" customFormat="1" ht="15" customHeight="1">
      <c r="A97" s="55"/>
      <c r="B97" s="76"/>
      <c r="C97" s="76"/>
      <c r="D97" s="76"/>
      <c r="E97" s="76"/>
      <c r="F97" s="76"/>
      <c r="G97" s="76"/>
      <c r="H97" s="78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8"/>
      <c r="T97" s="79"/>
      <c r="U97" s="76"/>
      <c r="V97" s="78"/>
      <c r="W97" s="77"/>
      <c r="X97" s="77"/>
      <c r="Y97" s="77"/>
      <c r="Z97" s="76"/>
      <c r="AA97" s="75"/>
      <c r="AB97" s="32"/>
      <c r="AC97" s="44"/>
      <c r="AD97" s="44"/>
    </row>
    <row r="98" spans="1:74" s="36" customFormat="1" ht="15" customHeight="1">
      <c r="A98" s="17"/>
      <c r="B98" s="37"/>
      <c r="C98" s="37"/>
      <c r="D98" s="37"/>
      <c r="E98" s="37"/>
      <c r="F98" s="37"/>
      <c r="G98" s="37"/>
      <c r="H98" s="83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83"/>
      <c r="U98" s="37"/>
      <c r="V98" s="83"/>
      <c r="W98" s="85"/>
      <c r="X98" s="85"/>
      <c r="Y98" s="85"/>
      <c r="Z98" s="37"/>
      <c r="AA98" s="84"/>
      <c r="AB98" s="32"/>
      <c r="AC98" s="44"/>
      <c r="AD98" s="44"/>
    </row>
    <row r="99" spans="1:74" s="36" customFormat="1" ht="15" customHeight="1">
      <c r="A99" s="17">
        <v>1992</v>
      </c>
      <c r="B99" s="34">
        <v>11804.867180072199</v>
      </c>
      <c r="C99" s="34">
        <v>3159.451168407626</v>
      </c>
      <c r="D99" s="34">
        <v>36801.274256197466</v>
      </c>
      <c r="E99" s="34">
        <v>3921.5345495723536</v>
      </c>
      <c r="F99" s="34">
        <v>11956.479270301998</v>
      </c>
      <c r="G99" s="37"/>
      <c r="H99" s="34">
        <v>67643.606424551646</v>
      </c>
      <c r="I99" s="37"/>
      <c r="J99" s="34">
        <v>30559.173636076783</v>
      </c>
      <c r="K99" s="34">
        <v>4884.605236110534</v>
      </c>
      <c r="L99" s="34">
        <v>14826.02665183</v>
      </c>
      <c r="M99" s="34">
        <v>7497.6748016332258</v>
      </c>
      <c r="N99" s="34">
        <v>29827.986725832692</v>
      </c>
      <c r="O99" s="34">
        <v>13930.582854062382</v>
      </c>
      <c r="P99" s="34">
        <v>17280.485304213522</v>
      </c>
      <c r="Q99" s="34">
        <v>11992.473346808143</v>
      </c>
      <c r="R99" s="83"/>
      <c r="S99" s="34">
        <v>130799.00855656726</v>
      </c>
      <c r="U99" s="42">
        <v>2775.4192213270221</v>
      </c>
      <c r="V99" s="34">
        <v>195667.19575979188</v>
      </c>
      <c r="W99" s="82"/>
      <c r="X99" s="82"/>
      <c r="Y99" s="82"/>
      <c r="Z99" s="34">
        <v>22900.018876864757</v>
      </c>
      <c r="AA99" s="33">
        <v>218567.21463665666</v>
      </c>
      <c r="AB99" s="32"/>
      <c r="AC99" s="44"/>
      <c r="AD99" s="44"/>
    </row>
    <row r="100" spans="1:74" s="36" customFormat="1" ht="15" customHeight="1">
      <c r="A100" s="17" t="s">
        <v>26</v>
      </c>
      <c r="B100" s="38">
        <v>12102.531897811969</v>
      </c>
      <c r="C100" s="38">
        <v>2990.5032839066184</v>
      </c>
      <c r="D100" s="38">
        <v>33136.052788719273</v>
      </c>
      <c r="E100" s="38">
        <v>3718.4861251330831</v>
      </c>
      <c r="F100" s="38">
        <v>11049.700801520154</v>
      </c>
      <c r="G100" s="37"/>
      <c r="H100" s="34">
        <v>62997.274897091091</v>
      </c>
      <c r="I100" s="37"/>
      <c r="J100" s="38">
        <v>27838.772167897037</v>
      </c>
      <c r="K100" s="38">
        <v>5688.3796363102265</v>
      </c>
      <c r="L100" s="38">
        <v>14170.85963771205</v>
      </c>
      <c r="M100" s="38">
        <v>6538.2551919555081</v>
      </c>
      <c r="N100" s="38">
        <v>27346.625330322913</v>
      </c>
      <c r="O100" s="38">
        <v>13673.597732217131</v>
      </c>
      <c r="P100" s="38">
        <v>12407.9705910472</v>
      </c>
      <c r="Q100" s="38">
        <v>11633.559328857977</v>
      </c>
      <c r="R100" s="37"/>
      <c r="S100" s="34">
        <v>119298.01961632006</v>
      </c>
      <c r="U100" s="35">
        <v>2312.599836335989</v>
      </c>
      <c r="V100" s="34">
        <v>179982.69467707517</v>
      </c>
      <c r="W100" s="81"/>
      <c r="X100" s="81"/>
      <c r="Y100" s="81"/>
      <c r="Z100" s="31">
        <v>20612.086908158017</v>
      </c>
      <c r="AA100" s="33">
        <v>200594.78158523317</v>
      </c>
      <c r="AB100" s="32"/>
      <c r="AC100" s="31"/>
      <c r="AD100" s="44"/>
    </row>
    <row r="101" spans="1:74" s="36" customFormat="1" ht="15" customHeight="1">
      <c r="A101" s="17" t="s">
        <v>25</v>
      </c>
      <c r="B101" s="38">
        <v>14004.406179692432</v>
      </c>
      <c r="C101" s="38">
        <v>3133.4472274057375</v>
      </c>
      <c r="D101" s="38">
        <v>38408.590715589686</v>
      </c>
      <c r="E101" s="38">
        <v>3903.5490611347595</v>
      </c>
      <c r="F101" s="38">
        <v>11583.182615868576</v>
      </c>
      <c r="G101" s="37"/>
      <c r="H101" s="34">
        <v>71033.175799691191</v>
      </c>
      <c r="I101" s="37"/>
      <c r="J101" s="38">
        <v>32129.698017120816</v>
      </c>
      <c r="K101" s="38">
        <v>4348.6385918028755</v>
      </c>
      <c r="L101" s="38">
        <v>15199.255611970006</v>
      </c>
      <c r="M101" s="38">
        <v>7157.3264783412051</v>
      </c>
      <c r="N101" s="38">
        <v>30941.527853959284</v>
      </c>
      <c r="O101" s="38">
        <v>14158.09740213953</v>
      </c>
      <c r="P101" s="38">
        <v>19566.795690587423</v>
      </c>
      <c r="Q101" s="38">
        <v>12284.312424505602</v>
      </c>
      <c r="R101" s="37"/>
      <c r="S101" s="34">
        <v>135785.65207042673</v>
      </c>
      <c r="U101" s="35">
        <v>2618.9926568927581</v>
      </c>
      <c r="V101" s="34">
        <v>204199.83521322516</v>
      </c>
      <c r="W101" s="81"/>
      <c r="X101" s="81"/>
      <c r="Y101" s="81"/>
      <c r="Z101" s="31">
        <v>21538.628066774094</v>
      </c>
      <c r="AA101" s="33">
        <v>225738.46327999927</v>
      </c>
      <c r="AB101" s="32"/>
      <c r="AC101" s="31"/>
      <c r="AD101" s="44"/>
    </row>
    <row r="102" spans="1:74" s="36" customFormat="1" ht="15" customHeight="1">
      <c r="A102" s="17" t="s">
        <v>24</v>
      </c>
      <c r="B102" s="38">
        <v>9933.7894564300623</v>
      </c>
      <c r="C102" s="38">
        <v>3238.1092526759235</v>
      </c>
      <c r="D102" s="38">
        <v>37892.008513031542</v>
      </c>
      <c r="E102" s="38">
        <v>4258.4956199491171</v>
      </c>
      <c r="F102" s="38">
        <v>12637.601313533854</v>
      </c>
      <c r="G102" s="37"/>
      <c r="H102" s="34">
        <v>67960.004155620496</v>
      </c>
      <c r="I102" s="37"/>
      <c r="J102" s="38">
        <v>31719.854627679626</v>
      </c>
      <c r="K102" s="38">
        <v>4558.8669823086739</v>
      </c>
      <c r="L102" s="38">
        <v>14923.367720359849</v>
      </c>
      <c r="M102" s="38">
        <v>7957.0660691462954</v>
      </c>
      <c r="N102" s="38">
        <v>29920.349325122141</v>
      </c>
      <c r="O102" s="38">
        <v>14111.839147551973</v>
      </c>
      <c r="P102" s="38">
        <v>19877.289560468158</v>
      </c>
      <c r="Q102" s="38">
        <v>11923.20519181873</v>
      </c>
      <c r="R102" s="37"/>
      <c r="S102" s="34">
        <v>134991.83862445544</v>
      </c>
      <c r="U102" s="35">
        <v>2958.7906897775961</v>
      </c>
      <c r="V102" s="34">
        <v>199993.05209029836</v>
      </c>
      <c r="W102" s="81"/>
      <c r="X102" s="81"/>
      <c r="Y102" s="81"/>
      <c r="Z102" s="31">
        <v>23767.800165727858</v>
      </c>
      <c r="AA102" s="33">
        <v>223760.85225602621</v>
      </c>
      <c r="AB102" s="32"/>
      <c r="AC102" s="31"/>
      <c r="AD102" s="44"/>
    </row>
    <row r="103" spans="1:74" s="36" customFormat="1" ht="15" customHeight="1">
      <c r="A103" s="17" t="s">
        <v>23</v>
      </c>
      <c r="B103" s="38">
        <v>11178.741186354333</v>
      </c>
      <c r="C103" s="38">
        <v>3275.7449096422242</v>
      </c>
      <c r="D103" s="38">
        <v>37768.445007449365</v>
      </c>
      <c r="E103" s="38">
        <v>3805.6073920724534</v>
      </c>
      <c r="F103" s="38">
        <v>12555.432350285402</v>
      </c>
      <c r="G103" s="37"/>
      <c r="H103" s="34">
        <v>68583.970845803779</v>
      </c>
      <c r="I103" s="37"/>
      <c r="J103" s="38">
        <v>30548.369731609651</v>
      </c>
      <c r="K103" s="38">
        <v>4942.5357340203582</v>
      </c>
      <c r="L103" s="38">
        <v>15010.62363727809</v>
      </c>
      <c r="M103" s="38">
        <v>8338.0514670898956</v>
      </c>
      <c r="N103" s="38">
        <v>31103.444393926427</v>
      </c>
      <c r="O103" s="38">
        <v>13778.797134340895</v>
      </c>
      <c r="P103" s="38">
        <v>17269.885374751306</v>
      </c>
      <c r="Q103" s="38">
        <v>12128.816442050267</v>
      </c>
      <c r="R103" s="37"/>
      <c r="S103" s="34">
        <v>133120.52391506691</v>
      </c>
      <c r="U103" s="35">
        <v>3211.2937023017457</v>
      </c>
      <c r="V103" s="34">
        <v>198493.20105856896</v>
      </c>
      <c r="W103" s="81"/>
      <c r="X103" s="81"/>
      <c r="Y103" s="81"/>
      <c r="Z103" s="31">
        <v>25681.560366799058</v>
      </c>
      <c r="AA103" s="33">
        <v>224174.76142536802</v>
      </c>
      <c r="AB103" s="32"/>
      <c r="AC103" s="31"/>
      <c r="AD103" s="44"/>
    </row>
    <row r="104" spans="1:74" s="36" customFormat="1" ht="15" customHeight="1">
      <c r="A104" s="80"/>
      <c r="B104" s="76"/>
      <c r="C104" s="76"/>
      <c r="D104" s="76"/>
      <c r="E104" s="76"/>
      <c r="F104" s="76"/>
      <c r="G104" s="76"/>
      <c r="H104" s="78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8"/>
      <c r="T104" s="79"/>
      <c r="U104" s="76"/>
      <c r="V104" s="78"/>
      <c r="W104" s="77"/>
      <c r="X104" s="77"/>
      <c r="Y104" s="77"/>
      <c r="Z104" s="76"/>
      <c r="AA104" s="75"/>
      <c r="AB104" s="32"/>
      <c r="AC104" s="44"/>
      <c r="AD104" s="44"/>
    </row>
    <row r="105" spans="1:74" ht="15" customHeight="1">
      <c r="A105" s="74"/>
      <c r="B105" s="12"/>
      <c r="C105" s="12"/>
      <c r="D105" s="12"/>
      <c r="E105" s="12"/>
      <c r="F105" s="12"/>
      <c r="G105" s="12"/>
      <c r="H105" s="73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3"/>
      <c r="T105" s="12"/>
      <c r="U105" s="14"/>
      <c r="V105" s="73"/>
      <c r="W105" s="72"/>
      <c r="X105" s="72"/>
      <c r="Y105" s="72"/>
      <c r="Z105" s="71"/>
      <c r="AA105" s="70"/>
      <c r="AB105" s="32"/>
      <c r="AC105" s="44"/>
      <c r="AD105" s="44"/>
    </row>
    <row r="106" spans="1:74" ht="15" customHeight="1">
      <c r="A106" s="17">
        <v>1993</v>
      </c>
      <c r="B106" s="34">
        <v>12091.214540189705</v>
      </c>
      <c r="C106" s="34">
        <v>3475.7141422582017</v>
      </c>
      <c r="D106" s="34">
        <v>38100.758086862261</v>
      </c>
      <c r="E106" s="34">
        <v>4330.4877749410307</v>
      </c>
      <c r="F106" s="34">
        <v>13254.576178563291</v>
      </c>
      <c r="G106" s="19"/>
      <c r="H106" s="34">
        <v>71252.750722814482</v>
      </c>
      <c r="I106" s="38"/>
      <c r="J106" s="34">
        <v>31700.793002881812</v>
      </c>
      <c r="K106" s="34">
        <v>5332.2396077121475</v>
      </c>
      <c r="L106" s="34">
        <v>15607.300900042257</v>
      </c>
      <c r="M106" s="34">
        <v>8738.7804589257739</v>
      </c>
      <c r="N106" s="34">
        <v>33770.333598158279</v>
      </c>
      <c r="O106" s="34">
        <v>14556.454826099292</v>
      </c>
      <c r="P106" s="34">
        <v>18011.942681744178</v>
      </c>
      <c r="Q106" s="34">
        <v>12615.521041411652</v>
      </c>
      <c r="R106" s="34"/>
      <c r="S106" s="34">
        <v>140333.36611697538</v>
      </c>
      <c r="T106" s="12"/>
      <c r="U106" s="42">
        <v>3411.0270705776593</v>
      </c>
      <c r="V106" s="34">
        <v>208175.08976921218</v>
      </c>
      <c r="W106" s="34">
        <v>16266.639908999998</v>
      </c>
      <c r="X106" s="34">
        <v>2440.4394269999939</v>
      </c>
      <c r="Y106" s="34">
        <v>9622.8111263602914</v>
      </c>
      <c r="Z106" s="34">
        <v>28329.890462360287</v>
      </c>
      <c r="AA106" s="33">
        <v>236504.98023157252</v>
      </c>
      <c r="AB106" s="32"/>
      <c r="AC106" s="48"/>
      <c r="AD106" s="44"/>
      <c r="AE106" s="39"/>
      <c r="AG106" s="19"/>
      <c r="AH106" s="19"/>
      <c r="AI106" s="19"/>
      <c r="AJ106" s="19"/>
      <c r="AK106" s="19"/>
      <c r="AL106" s="19"/>
      <c r="AM106" s="19"/>
      <c r="AN106" s="19"/>
      <c r="AP106" s="19"/>
      <c r="AQ106" s="21"/>
      <c r="AR106" s="21"/>
      <c r="AS106" s="21"/>
      <c r="AT106" s="19"/>
      <c r="AU106" s="21"/>
      <c r="AV106" s="19"/>
      <c r="AW106" s="19"/>
      <c r="AZ106" s="19"/>
      <c r="BA106" s="19"/>
      <c r="BB106" s="19"/>
      <c r="BC106" s="19"/>
      <c r="BD106" s="19"/>
      <c r="BE106" s="19"/>
      <c r="BF106" s="19"/>
      <c r="BG106" s="19"/>
      <c r="BH106" s="19"/>
      <c r="BJ106" s="19"/>
      <c r="BK106" s="19"/>
      <c r="BL106" s="21"/>
      <c r="BM106" s="19"/>
      <c r="BN106" s="19"/>
      <c r="BO106" s="19"/>
      <c r="BP106" s="21"/>
      <c r="BQ106" s="19"/>
      <c r="BR106" s="19"/>
      <c r="BS106" s="19"/>
      <c r="BT106" s="20"/>
      <c r="BU106" s="19"/>
      <c r="BV106" s="19"/>
    </row>
    <row r="107" spans="1:74" ht="15" customHeight="1">
      <c r="A107" s="17" t="s">
        <v>26</v>
      </c>
      <c r="B107" s="38">
        <v>11144.632702294688</v>
      </c>
      <c r="C107" s="38">
        <v>3070.1791518537557</v>
      </c>
      <c r="D107" s="38">
        <v>33566.295945059668</v>
      </c>
      <c r="E107" s="38">
        <v>3955.3426133690923</v>
      </c>
      <c r="F107" s="38">
        <v>12387.372196643673</v>
      </c>
      <c r="G107" s="37"/>
      <c r="H107" s="34">
        <v>64123.822609220879</v>
      </c>
      <c r="I107" s="37"/>
      <c r="J107" s="38">
        <v>28674.477583540858</v>
      </c>
      <c r="K107" s="38">
        <v>5491.9649570240435</v>
      </c>
      <c r="L107" s="38">
        <v>14608.367759574052</v>
      </c>
      <c r="M107" s="38">
        <v>7975.4657518782915</v>
      </c>
      <c r="N107" s="38">
        <v>31441.889427996186</v>
      </c>
      <c r="O107" s="38">
        <v>14561.679201561165</v>
      </c>
      <c r="P107" s="38">
        <v>14665.956936548362</v>
      </c>
      <c r="Q107" s="38">
        <v>11719.042067492781</v>
      </c>
      <c r="R107" s="37"/>
      <c r="S107" s="34">
        <v>129138.84368561572</v>
      </c>
      <c r="T107" s="36"/>
      <c r="U107" s="35">
        <v>3035.3225352893701</v>
      </c>
      <c r="V107" s="34">
        <v>190227.34375954725</v>
      </c>
      <c r="W107" s="31">
        <v>15366.955476555808</v>
      </c>
      <c r="X107" s="31">
        <v>1901.7217634426879</v>
      </c>
      <c r="Y107" s="31">
        <v>8874.0903092238514</v>
      </c>
      <c r="Z107" s="31">
        <v>26142.767549222346</v>
      </c>
      <c r="AA107" s="33">
        <v>216370.11130876958</v>
      </c>
      <c r="AB107" s="32"/>
      <c r="AC107" s="31"/>
      <c r="AD107" s="44"/>
      <c r="AE107" s="39"/>
      <c r="AG107" s="19"/>
      <c r="AH107" s="19"/>
      <c r="AI107" s="19"/>
      <c r="AJ107" s="19"/>
      <c r="AK107" s="19"/>
      <c r="AL107" s="19"/>
      <c r="AM107" s="19"/>
      <c r="AN107" s="19"/>
      <c r="AP107" s="19"/>
      <c r="AQ107" s="21"/>
      <c r="AR107" s="69"/>
      <c r="AS107" s="69"/>
      <c r="AT107" s="19"/>
      <c r="AU107" s="21"/>
      <c r="AV107" s="19"/>
      <c r="AW107" s="19"/>
      <c r="AZ107" s="19"/>
      <c r="BA107" s="19"/>
      <c r="BB107" s="19"/>
      <c r="BC107" s="19"/>
      <c r="BD107" s="19"/>
      <c r="BE107" s="19"/>
      <c r="BF107" s="19"/>
      <c r="BG107" s="19"/>
      <c r="BH107" s="19"/>
      <c r="BJ107" s="19"/>
      <c r="BK107" s="69"/>
      <c r="BL107" s="21"/>
      <c r="BM107" s="19"/>
      <c r="BN107" s="19"/>
      <c r="BO107" s="19"/>
      <c r="BP107" s="21"/>
      <c r="BQ107" s="19"/>
      <c r="BR107" s="19"/>
      <c r="BS107" s="19"/>
      <c r="BT107" s="20"/>
      <c r="BU107" s="19"/>
      <c r="BV107" s="19"/>
    </row>
    <row r="108" spans="1:74" ht="15" customHeight="1">
      <c r="A108" s="17" t="s">
        <v>25</v>
      </c>
      <c r="B108" s="38">
        <v>14220.494850614106</v>
      </c>
      <c r="C108" s="38">
        <v>3360.8756812391985</v>
      </c>
      <c r="D108" s="38">
        <v>39175.399663378797</v>
      </c>
      <c r="E108" s="38">
        <v>4411.383878143437</v>
      </c>
      <c r="F108" s="38">
        <v>13034.249367331709</v>
      </c>
      <c r="G108" s="37"/>
      <c r="H108" s="34">
        <v>74202.403440707247</v>
      </c>
      <c r="I108" s="37"/>
      <c r="J108" s="38">
        <v>33644.667983695297</v>
      </c>
      <c r="K108" s="38">
        <v>4962.6161166078282</v>
      </c>
      <c r="L108" s="38">
        <v>15459.774328724994</v>
      </c>
      <c r="M108" s="38">
        <v>8455.622261591252</v>
      </c>
      <c r="N108" s="38">
        <v>34149.922049105298</v>
      </c>
      <c r="O108" s="38">
        <v>14567.079914967511</v>
      </c>
      <c r="P108" s="38">
        <v>18938.276546499008</v>
      </c>
      <c r="Q108" s="38">
        <v>12722.1429851516</v>
      </c>
      <c r="R108" s="37"/>
      <c r="S108" s="34">
        <v>142900.10218634282</v>
      </c>
      <c r="T108" s="36"/>
      <c r="U108" s="35">
        <v>3337.6535598859914</v>
      </c>
      <c r="V108" s="34">
        <v>213764.85206716409</v>
      </c>
      <c r="W108" s="31">
        <v>16016.931230533171</v>
      </c>
      <c r="X108" s="31">
        <v>2261.7128318091482</v>
      </c>
      <c r="Y108" s="31">
        <v>9828.3622946028772</v>
      </c>
      <c r="Z108" s="31">
        <v>28107.006356945196</v>
      </c>
      <c r="AA108" s="33">
        <v>241871.85842410929</v>
      </c>
      <c r="AB108" s="32"/>
      <c r="AC108" s="31"/>
      <c r="AD108" s="44"/>
      <c r="AE108" s="39"/>
      <c r="AG108" s="19"/>
      <c r="AH108" s="19"/>
      <c r="AI108" s="19"/>
      <c r="AJ108" s="19"/>
      <c r="AK108" s="19"/>
      <c r="AL108" s="19"/>
      <c r="AM108" s="19"/>
      <c r="AN108" s="19"/>
      <c r="AP108" s="19"/>
      <c r="AQ108" s="21"/>
      <c r="AR108" s="21"/>
      <c r="AS108" s="69"/>
      <c r="AT108" s="19"/>
      <c r="AU108" s="21"/>
      <c r="AV108" s="19"/>
      <c r="AW108" s="19"/>
      <c r="AZ108" s="19"/>
      <c r="BA108" s="19"/>
      <c r="BB108" s="19"/>
      <c r="BC108" s="19"/>
      <c r="BD108" s="19"/>
      <c r="BE108" s="19"/>
      <c r="BF108" s="19"/>
      <c r="BG108" s="19"/>
      <c r="BH108" s="19"/>
      <c r="BJ108" s="19"/>
      <c r="BK108" s="19"/>
      <c r="BL108" s="21"/>
      <c r="BM108" s="19"/>
      <c r="BN108" s="69"/>
      <c r="BO108" s="19"/>
      <c r="BP108" s="69"/>
      <c r="BQ108" s="19"/>
      <c r="BR108" s="19"/>
      <c r="BS108" s="19"/>
      <c r="BT108" s="20"/>
      <c r="BU108" s="19"/>
      <c r="BV108" s="19"/>
    </row>
    <row r="109" spans="1:74" ht="15" customHeight="1">
      <c r="A109" s="17" t="s">
        <v>24</v>
      </c>
      <c r="B109" s="38">
        <v>11099.532479912046</v>
      </c>
      <c r="C109" s="38">
        <v>3613.3037050464709</v>
      </c>
      <c r="D109" s="38">
        <v>39377.195477627967</v>
      </c>
      <c r="E109" s="38">
        <v>4740.9743898013412</v>
      </c>
      <c r="F109" s="38">
        <v>13625.603598354051</v>
      </c>
      <c r="G109" s="37"/>
      <c r="H109" s="34">
        <v>72456.60965074187</v>
      </c>
      <c r="I109" s="37"/>
      <c r="J109" s="38">
        <v>32316.677903328393</v>
      </c>
      <c r="K109" s="38">
        <v>5303.5013708625947</v>
      </c>
      <c r="L109" s="38">
        <v>15857.738277026445</v>
      </c>
      <c r="M109" s="38">
        <v>9020.0838966432202</v>
      </c>
      <c r="N109" s="38">
        <v>34551.44178225685</v>
      </c>
      <c r="O109" s="38">
        <v>14559.008351194254</v>
      </c>
      <c r="P109" s="38">
        <v>19227.228939527595</v>
      </c>
      <c r="Q109" s="38">
        <v>12959.555594370782</v>
      </c>
      <c r="R109" s="37"/>
      <c r="S109" s="34">
        <v>143795.23611521014</v>
      </c>
      <c r="T109" s="36"/>
      <c r="U109" s="35">
        <v>3459.8090455227252</v>
      </c>
      <c r="V109" s="34">
        <v>212792.03672042929</v>
      </c>
      <c r="W109" s="31">
        <v>16964.455731753234</v>
      </c>
      <c r="X109" s="31">
        <v>2681.3716910123062</v>
      </c>
      <c r="Y109" s="31">
        <v>10207.658224848796</v>
      </c>
      <c r="Z109" s="31">
        <v>29853.48564761434</v>
      </c>
      <c r="AA109" s="33">
        <v>242645.52236804363</v>
      </c>
      <c r="AB109" s="32"/>
      <c r="AC109" s="31"/>
      <c r="AD109" s="44"/>
      <c r="AE109" s="39"/>
      <c r="AG109" s="19"/>
      <c r="AH109" s="19"/>
      <c r="AI109" s="19"/>
      <c r="AJ109" s="19"/>
      <c r="AK109" s="19"/>
      <c r="AL109" s="19"/>
      <c r="AM109" s="19"/>
      <c r="AN109" s="19"/>
      <c r="AP109" s="19"/>
      <c r="AQ109" s="21"/>
      <c r="AR109" s="21"/>
      <c r="AS109" s="21"/>
      <c r="AT109" s="19"/>
      <c r="AU109" s="21"/>
      <c r="AV109" s="69"/>
      <c r="AW109" s="19"/>
      <c r="AZ109" s="19"/>
      <c r="BA109" s="19"/>
      <c r="BB109" s="19"/>
      <c r="BC109" s="19"/>
      <c r="BD109" s="19"/>
      <c r="BE109" s="19"/>
      <c r="BF109" s="19"/>
      <c r="BG109" s="19"/>
      <c r="BH109" s="19"/>
      <c r="BJ109" s="19"/>
      <c r="BK109" s="19"/>
      <c r="BL109" s="21"/>
      <c r="BM109" s="19"/>
      <c r="BN109" s="19"/>
      <c r="BO109" s="69"/>
      <c r="BP109" s="69"/>
      <c r="BQ109" s="19"/>
      <c r="BR109" s="19"/>
      <c r="BS109" s="19"/>
      <c r="BT109" s="20"/>
      <c r="BU109" s="19"/>
      <c r="BV109" s="19"/>
    </row>
    <row r="110" spans="1:74" ht="15" customHeight="1">
      <c r="A110" s="17" t="s">
        <v>23</v>
      </c>
      <c r="B110" s="38">
        <v>11900.198127937976</v>
      </c>
      <c r="C110" s="38">
        <v>3858.4980308933809</v>
      </c>
      <c r="D110" s="38">
        <v>40284.141261382618</v>
      </c>
      <c r="E110" s="38">
        <v>4214.2502184502528</v>
      </c>
      <c r="F110" s="38">
        <v>13971.079551923729</v>
      </c>
      <c r="G110" s="37"/>
      <c r="H110" s="34">
        <v>74228.167190587963</v>
      </c>
      <c r="I110" s="37"/>
      <c r="J110" s="38">
        <v>32167.348540962703</v>
      </c>
      <c r="K110" s="38">
        <v>5570.8759863541227</v>
      </c>
      <c r="L110" s="38">
        <v>16503.323234843538</v>
      </c>
      <c r="M110" s="38">
        <v>9503.949925590332</v>
      </c>
      <c r="N110" s="38">
        <v>34938.081133274769</v>
      </c>
      <c r="O110" s="38">
        <v>14538.051836674238</v>
      </c>
      <c r="P110" s="38">
        <v>19216.308304401748</v>
      </c>
      <c r="Q110" s="38">
        <v>13061.343518631442</v>
      </c>
      <c r="R110" s="37"/>
      <c r="S110" s="34">
        <v>145499.28248073289</v>
      </c>
      <c r="T110" s="36"/>
      <c r="U110" s="35">
        <v>3811.3231416125514</v>
      </c>
      <c r="V110" s="34">
        <v>215916.1265297083</v>
      </c>
      <c r="W110" s="31">
        <v>16718.217197157781</v>
      </c>
      <c r="X110" s="31">
        <v>2916.9514217358346</v>
      </c>
      <c r="Y110" s="31">
        <v>9581.133676765643</v>
      </c>
      <c r="Z110" s="31">
        <v>29216.302295659258</v>
      </c>
      <c r="AA110" s="33">
        <v>245132.42882536756</v>
      </c>
      <c r="AB110" s="32"/>
      <c r="AC110" s="31"/>
      <c r="AD110" s="44"/>
      <c r="AE110" s="39"/>
      <c r="AG110" s="19"/>
      <c r="AH110" s="19"/>
      <c r="AI110" s="19"/>
      <c r="AJ110" s="19"/>
      <c r="AK110" s="19"/>
      <c r="AL110" s="19"/>
      <c r="AM110" s="19"/>
      <c r="AN110" s="19"/>
      <c r="AP110" s="19"/>
      <c r="AQ110" s="21"/>
      <c r="AR110" s="21"/>
      <c r="AS110" s="21"/>
      <c r="AT110" s="19"/>
      <c r="AU110" s="21"/>
      <c r="AV110" s="69"/>
      <c r="AW110" s="19"/>
      <c r="AZ110" s="19"/>
      <c r="BA110" s="19"/>
      <c r="BB110" s="19"/>
      <c r="BC110" s="19"/>
      <c r="BD110" s="19"/>
      <c r="BE110" s="19"/>
      <c r="BF110" s="19"/>
      <c r="BG110" s="19"/>
      <c r="BH110" s="19"/>
      <c r="BJ110" s="19"/>
      <c r="BK110" s="19"/>
      <c r="BL110" s="21"/>
      <c r="BM110" s="19"/>
      <c r="BN110" s="69"/>
      <c r="BO110" s="69"/>
      <c r="BP110" s="21"/>
      <c r="BQ110" s="19"/>
      <c r="BR110" s="19"/>
      <c r="BS110" s="19"/>
      <c r="BT110" s="20"/>
      <c r="BU110" s="19"/>
      <c r="BV110" s="19"/>
    </row>
    <row r="111" spans="1:74" ht="15" customHeight="1">
      <c r="A111" s="55"/>
      <c r="B111" s="57"/>
      <c r="C111" s="57"/>
      <c r="D111" s="57"/>
      <c r="E111" s="57"/>
      <c r="F111" s="57"/>
      <c r="G111" s="57"/>
      <c r="H111" s="59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9"/>
      <c r="T111" s="28"/>
      <c r="U111" s="60"/>
      <c r="V111" s="59"/>
      <c r="W111" s="58"/>
      <c r="X111" s="58"/>
      <c r="Y111" s="58"/>
      <c r="Z111" s="57"/>
      <c r="AA111" s="56"/>
      <c r="AB111" s="32"/>
      <c r="AC111" s="48"/>
      <c r="AD111" s="44"/>
      <c r="AE111" s="39"/>
      <c r="AG111" s="19"/>
      <c r="AH111" s="19"/>
      <c r="AI111" s="19"/>
      <c r="AJ111" s="19"/>
      <c r="AK111" s="19"/>
      <c r="AL111" s="19"/>
      <c r="AM111" s="19"/>
      <c r="AN111" s="19"/>
      <c r="AP111" s="19"/>
      <c r="AQ111" s="21"/>
      <c r="AR111" s="21"/>
      <c r="AS111" s="21"/>
      <c r="AT111" s="19"/>
      <c r="AU111" s="21"/>
      <c r="AV111" s="19"/>
      <c r="AW111" s="19"/>
      <c r="AZ111" s="19"/>
      <c r="BA111" s="19"/>
      <c r="BB111" s="19"/>
      <c r="BC111" s="19"/>
      <c r="BD111" s="19"/>
      <c r="BE111" s="19"/>
      <c r="BF111" s="19"/>
      <c r="BG111" s="19"/>
      <c r="BH111" s="19"/>
      <c r="BJ111" s="19"/>
      <c r="BK111" s="19"/>
      <c r="BL111" s="21"/>
      <c r="BM111" s="19"/>
      <c r="BN111" s="19"/>
      <c r="BO111" s="19"/>
      <c r="BP111" s="21"/>
      <c r="BQ111" s="19"/>
      <c r="BR111" s="19"/>
      <c r="BS111" s="19"/>
      <c r="BT111" s="20"/>
      <c r="BU111" s="19"/>
      <c r="BV111" s="19"/>
    </row>
    <row r="112" spans="1:74" ht="15" customHeight="1">
      <c r="A112" s="17"/>
      <c r="B112" s="65"/>
      <c r="C112" s="65"/>
      <c r="D112" s="65"/>
      <c r="E112" s="65"/>
      <c r="F112" s="65"/>
      <c r="G112" s="65"/>
      <c r="H112" s="63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3"/>
      <c r="U112" s="67"/>
      <c r="V112" s="63"/>
      <c r="W112" s="66"/>
      <c r="X112" s="66"/>
      <c r="Y112" s="66"/>
      <c r="Z112" s="65"/>
      <c r="AA112" s="64"/>
      <c r="AB112" s="32"/>
      <c r="AC112" s="48"/>
      <c r="AD112" s="44"/>
      <c r="AE112" s="39"/>
      <c r="AG112" s="19"/>
      <c r="AH112" s="19"/>
      <c r="AI112" s="19"/>
      <c r="AJ112" s="19"/>
      <c r="AK112" s="19"/>
      <c r="AL112" s="19"/>
      <c r="AM112" s="19"/>
      <c r="AN112" s="19"/>
      <c r="AP112" s="19"/>
      <c r="AQ112" s="21"/>
      <c r="AR112" s="21"/>
      <c r="AS112" s="21"/>
      <c r="AT112" s="19"/>
      <c r="AU112" s="21"/>
      <c r="AV112" s="19"/>
      <c r="AW112" s="19"/>
      <c r="AZ112" s="19"/>
      <c r="BA112" s="19"/>
      <c r="BB112" s="19"/>
      <c r="BC112" s="19"/>
      <c r="BD112" s="19"/>
      <c r="BE112" s="19"/>
      <c r="BF112" s="19"/>
      <c r="BG112" s="19"/>
      <c r="BH112" s="19"/>
      <c r="BJ112" s="19"/>
      <c r="BK112" s="19"/>
      <c r="BL112" s="21"/>
      <c r="BM112" s="19"/>
      <c r="BN112" s="19"/>
      <c r="BO112" s="19"/>
      <c r="BP112" s="21"/>
      <c r="BQ112" s="19"/>
      <c r="BR112" s="19"/>
      <c r="BS112" s="19"/>
      <c r="BT112" s="20"/>
      <c r="BU112" s="19"/>
      <c r="BV112" s="19"/>
    </row>
    <row r="113" spans="1:74" ht="15" customHeight="1">
      <c r="A113" s="17">
        <v>1994</v>
      </c>
      <c r="B113" s="34">
        <v>12994.745075494066</v>
      </c>
      <c r="C113" s="34">
        <v>3953.6271065022465</v>
      </c>
      <c r="D113" s="34">
        <v>39813.746417859962</v>
      </c>
      <c r="E113" s="34">
        <v>4799.8960061821672</v>
      </c>
      <c r="F113" s="34">
        <v>14017.639276435042</v>
      </c>
      <c r="G113" s="19"/>
      <c r="H113" s="34">
        <v>75579.653882473489</v>
      </c>
      <c r="I113" s="38"/>
      <c r="J113" s="34">
        <v>33743.696436740531</v>
      </c>
      <c r="K113" s="34">
        <v>5786.0479455505856</v>
      </c>
      <c r="L113" s="34">
        <v>17211.902095349444</v>
      </c>
      <c r="M113" s="34">
        <v>10516.402895487608</v>
      </c>
      <c r="N113" s="34">
        <v>35979.683656430418</v>
      </c>
      <c r="O113" s="34">
        <v>14187.344531569932</v>
      </c>
      <c r="P113" s="34">
        <v>18428.746973510031</v>
      </c>
      <c r="Q113" s="34">
        <v>13288.994144829197</v>
      </c>
      <c r="R113" s="34"/>
      <c r="S113" s="34">
        <v>149142.81867946775</v>
      </c>
      <c r="T113" s="12"/>
      <c r="U113" s="42">
        <v>4573.7523687436542</v>
      </c>
      <c r="V113" s="34">
        <v>220148.7201931976</v>
      </c>
      <c r="W113" s="34">
        <v>16833.7416070049</v>
      </c>
      <c r="X113" s="34">
        <v>3068.6757356318594</v>
      </c>
      <c r="Y113" s="34">
        <v>10256.748000480853</v>
      </c>
      <c r="Z113" s="34">
        <v>30159.165343117609</v>
      </c>
      <c r="AA113" s="33">
        <v>250307.88553631518</v>
      </c>
      <c r="AB113" s="32"/>
      <c r="AC113" s="48"/>
      <c r="AD113" s="44"/>
      <c r="AE113" s="39"/>
      <c r="AG113" s="19"/>
      <c r="AH113" s="19"/>
      <c r="AI113" s="19"/>
      <c r="AJ113" s="19"/>
      <c r="AK113" s="19"/>
      <c r="AL113" s="19"/>
      <c r="AM113" s="19"/>
      <c r="AN113" s="19"/>
      <c r="AP113" s="19"/>
      <c r="AQ113" s="21"/>
      <c r="AR113" s="21"/>
      <c r="AS113" s="21"/>
      <c r="AT113" s="19"/>
      <c r="AU113" s="21"/>
      <c r="AV113" s="19"/>
      <c r="AW113" s="19"/>
      <c r="AZ113" s="19"/>
      <c r="BA113" s="19"/>
      <c r="BB113" s="19"/>
      <c r="BC113" s="19"/>
      <c r="BD113" s="19"/>
      <c r="BE113" s="19"/>
      <c r="BF113" s="19"/>
      <c r="BG113" s="19"/>
      <c r="BH113" s="19"/>
      <c r="BJ113" s="19"/>
      <c r="BK113" s="19"/>
      <c r="BL113" s="21"/>
      <c r="BM113" s="19"/>
      <c r="BN113" s="19"/>
      <c r="BO113" s="19"/>
      <c r="BP113" s="21"/>
      <c r="BQ113" s="19"/>
      <c r="BR113" s="19"/>
      <c r="BS113" s="19"/>
      <c r="BT113" s="68"/>
      <c r="BU113" s="19"/>
      <c r="BV113" s="19"/>
    </row>
    <row r="114" spans="1:74" ht="15" customHeight="1">
      <c r="A114" s="17" t="s">
        <v>26</v>
      </c>
      <c r="B114" s="38">
        <v>12095.608495699971</v>
      </c>
      <c r="C114" s="38">
        <v>3601.8016143386872</v>
      </c>
      <c r="D114" s="38">
        <v>36219.530146269601</v>
      </c>
      <c r="E114" s="38">
        <v>4327.4260146125398</v>
      </c>
      <c r="F114" s="38">
        <v>13094.980504997371</v>
      </c>
      <c r="G114" s="37"/>
      <c r="H114" s="34">
        <v>69339.346775918166</v>
      </c>
      <c r="I114" s="37"/>
      <c r="J114" s="38">
        <v>31186.282628225577</v>
      </c>
      <c r="K114" s="38">
        <v>5970.2832408601098</v>
      </c>
      <c r="L114" s="38">
        <v>16324.166201018175</v>
      </c>
      <c r="M114" s="38">
        <v>10073.576782604037</v>
      </c>
      <c r="N114" s="38">
        <v>33536.399141204849</v>
      </c>
      <c r="O114" s="38">
        <v>14039.648153346756</v>
      </c>
      <c r="P114" s="38">
        <v>15047.571814054667</v>
      </c>
      <c r="Q114" s="38">
        <v>12617.138736275876</v>
      </c>
      <c r="R114" s="37"/>
      <c r="S114" s="34">
        <v>138795.06669759005</v>
      </c>
      <c r="T114" s="36"/>
      <c r="U114" s="35">
        <v>4274.9266919019947</v>
      </c>
      <c r="V114" s="34">
        <v>203859.48678160622</v>
      </c>
      <c r="W114" s="31">
        <v>16491.736575712239</v>
      </c>
      <c r="X114" s="31">
        <v>2893.9534058057807</v>
      </c>
      <c r="Y114" s="31">
        <v>9700.1489665047338</v>
      </c>
      <c r="Z114" s="31">
        <v>29085.838948022752</v>
      </c>
      <c r="AA114" s="33">
        <v>232945.32572962897</v>
      </c>
      <c r="AB114" s="32"/>
      <c r="AC114" s="31"/>
      <c r="AD114" s="44"/>
      <c r="AE114" s="39"/>
      <c r="AG114" s="19"/>
      <c r="AH114" s="19"/>
      <c r="AI114" s="19"/>
      <c r="AJ114" s="19"/>
      <c r="AK114" s="19"/>
      <c r="AL114" s="19"/>
      <c r="AM114" s="19"/>
      <c r="AN114" s="19"/>
      <c r="AP114" s="19"/>
      <c r="AQ114" s="21"/>
      <c r="AR114" s="21"/>
      <c r="AS114" s="21"/>
      <c r="AT114" s="19"/>
      <c r="AU114" s="21"/>
      <c r="AV114" s="19"/>
      <c r="AW114" s="19"/>
      <c r="AZ114" s="19"/>
      <c r="BA114" s="19"/>
      <c r="BB114" s="19"/>
      <c r="BC114" s="19"/>
      <c r="BD114" s="19"/>
      <c r="BE114" s="19"/>
      <c r="BF114" s="19"/>
      <c r="BG114" s="19"/>
      <c r="BH114" s="19"/>
      <c r="BJ114" s="19"/>
      <c r="BK114" s="19"/>
      <c r="BL114" s="21"/>
      <c r="BM114" s="19"/>
      <c r="BN114" s="19"/>
      <c r="BO114" s="19"/>
      <c r="BP114" s="21"/>
      <c r="BQ114" s="19"/>
      <c r="BR114" s="19"/>
      <c r="BS114" s="19"/>
      <c r="BT114" s="20"/>
      <c r="BU114" s="19"/>
      <c r="BV114" s="19"/>
    </row>
    <row r="115" spans="1:74" ht="15" customHeight="1">
      <c r="A115" s="17" t="s">
        <v>25</v>
      </c>
      <c r="B115" s="38">
        <v>15338.794648512856</v>
      </c>
      <c r="C115" s="38">
        <v>3863.4173383461257</v>
      </c>
      <c r="D115" s="38">
        <v>40346.014129415431</v>
      </c>
      <c r="E115" s="38">
        <v>4823.3295333341066</v>
      </c>
      <c r="F115" s="38">
        <v>13990.031741025718</v>
      </c>
      <c r="G115" s="37"/>
      <c r="H115" s="34">
        <v>78361.587390634231</v>
      </c>
      <c r="I115" s="37"/>
      <c r="J115" s="38">
        <v>35983.526277910103</v>
      </c>
      <c r="K115" s="38">
        <v>5450.5989661068197</v>
      </c>
      <c r="L115" s="38">
        <v>17135.239109862636</v>
      </c>
      <c r="M115" s="38">
        <v>10351.190940651499</v>
      </c>
      <c r="N115" s="38">
        <v>36165.979085839419</v>
      </c>
      <c r="O115" s="38">
        <v>14229.219927690159</v>
      </c>
      <c r="P115" s="38">
        <v>19477.504144776096</v>
      </c>
      <c r="Q115" s="38">
        <v>13640.5650675013</v>
      </c>
      <c r="R115" s="37"/>
      <c r="S115" s="34">
        <v>152433.82352033805</v>
      </c>
      <c r="T115" s="36"/>
      <c r="U115" s="35">
        <v>4430.0397221139574</v>
      </c>
      <c r="V115" s="34">
        <v>226365.37118885832</v>
      </c>
      <c r="W115" s="31">
        <v>17570.708299343787</v>
      </c>
      <c r="X115" s="31">
        <v>3124.2197293673262</v>
      </c>
      <c r="Y115" s="31">
        <v>10416.595425345764</v>
      </c>
      <c r="Z115" s="31">
        <v>31111.523454056878</v>
      </c>
      <c r="AA115" s="33">
        <v>257476.8946429152</v>
      </c>
      <c r="AB115" s="32"/>
      <c r="AC115" s="31"/>
      <c r="AD115" s="44"/>
      <c r="AE115" s="39"/>
      <c r="AG115" s="19"/>
      <c r="AH115" s="19"/>
      <c r="AI115" s="19"/>
      <c r="AJ115" s="19"/>
      <c r="AK115" s="19"/>
      <c r="AL115" s="19"/>
      <c r="AM115" s="19"/>
      <c r="AN115" s="19"/>
      <c r="AP115" s="19"/>
      <c r="AQ115" s="21"/>
      <c r="AR115" s="21"/>
      <c r="AS115" s="21"/>
      <c r="AT115" s="19"/>
      <c r="AU115" s="21"/>
      <c r="AV115" s="19"/>
      <c r="AW115" s="19"/>
      <c r="AZ115" s="19"/>
      <c r="BA115" s="19"/>
      <c r="BB115" s="19"/>
      <c r="BC115" s="19"/>
      <c r="BD115" s="19"/>
      <c r="BE115" s="19"/>
      <c r="BF115" s="19"/>
      <c r="BG115" s="19"/>
      <c r="BH115" s="19"/>
      <c r="BJ115" s="19"/>
      <c r="BK115" s="19"/>
      <c r="BL115" s="21"/>
      <c r="BM115" s="19"/>
      <c r="BN115" s="19"/>
      <c r="BO115" s="19"/>
      <c r="BP115" s="21"/>
      <c r="BQ115" s="19"/>
      <c r="BR115" s="19"/>
      <c r="BS115" s="19"/>
      <c r="BT115" s="20"/>
      <c r="BU115" s="19"/>
      <c r="BV115" s="19"/>
    </row>
    <row r="116" spans="1:74" ht="15" customHeight="1">
      <c r="A116" s="17" t="s">
        <v>24</v>
      </c>
      <c r="B116" s="38">
        <v>12103.361734845384</v>
      </c>
      <c r="C116" s="38">
        <v>4016.1954309071789</v>
      </c>
      <c r="D116" s="38">
        <v>40869.314142129377</v>
      </c>
      <c r="E116" s="38">
        <v>5231.3211772592695</v>
      </c>
      <c r="F116" s="38">
        <v>14218.919921946119</v>
      </c>
      <c r="G116" s="37"/>
      <c r="H116" s="34">
        <v>76439.112407087334</v>
      </c>
      <c r="I116" s="37"/>
      <c r="J116" s="38">
        <v>34095.159545651055</v>
      </c>
      <c r="K116" s="38">
        <v>5647.2094915554999</v>
      </c>
      <c r="L116" s="38">
        <v>17495.964987999487</v>
      </c>
      <c r="M116" s="38">
        <v>10471.110896924787</v>
      </c>
      <c r="N116" s="38">
        <v>36293.314002155719</v>
      </c>
      <c r="O116" s="38">
        <v>14234.404809702683</v>
      </c>
      <c r="P116" s="38">
        <v>19570.940554943005</v>
      </c>
      <c r="Q116" s="38">
        <v>13454.639037955401</v>
      </c>
      <c r="R116" s="37"/>
      <c r="S116" s="34">
        <v>151262.74332688763</v>
      </c>
      <c r="T116" s="36"/>
      <c r="U116" s="35">
        <v>4682.8710261902861</v>
      </c>
      <c r="V116" s="34">
        <v>223018.98470778466</v>
      </c>
      <c r="W116" s="31">
        <v>16577.825951912429</v>
      </c>
      <c r="X116" s="31">
        <v>3105.1063883263841</v>
      </c>
      <c r="Y116" s="31">
        <v>10765.861006920994</v>
      </c>
      <c r="Z116" s="31">
        <v>30448.793347159808</v>
      </c>
      <c r="AA116" s="33">
        <v>253467.77805494447</v>
      </c>
      <c r="AB116" s="32"/>
      <c r="AC116" s="31"/>
      <c r="AD116" s="44"/>
      <c r="AE116" s="39"/>
      <c r="AG116" s="19"/>
      <c r="AH116" s="19"/>
      <c r="AI116" s="19"/>
      <c r="AJ116" s="19"/>
      <c r="AK116" s="19"/>
      <c r="AL116" s="19"/>
      <c r="AM116" s="19"/>
      <c r="AN116" s="19"/>
      <c r="AP116" s="19"/>
      <c r="AQ116" s="21"/>
      <c r="AR116" s="21"/>
      <c r="AS116" s="21"/>
      <c r="AT116" s="19"/>
      <c r="AU116" s="21"/>
      <c r="AV116" s="19"/>
      <c r="AW116" s="19"/>
      <c r="AZ116" s="19"/>
      <c r="BA116" s="19"/>
      <c r="BB116" s="19"/>
      <c r="BC116" s="19"/>
      <c r="BD116" s="19"/>
      <c r="BE116" s="19"/>
      <c r="BF116" s="19"/>
      <c r="BG116" s="19"/>
      <c r="BH116" s="19"/>
      <c r="BJ116" s="19"/>
      <c r="BK116" s="19"/>
      <c r="BL116" s="21"/>
      <c r="BM116" s="19"/>
      <c r="BN116" s="19"/>
      <c r="BO116" s="19"/>
      <c r="BP116" s="21"/>
      <c r="BQ116" s="19"/>
      <c r="BR116" s="19"/>
      <c r="BS116" s="19"/>
      <c r="BT116" s="20"/>
      <c r="BU116" s="19"/>
      <c r="BV116" s="19"/>
    </row>
    <row r="117" spans="1:74" ht="15" customHeight="1">
      <c r="A117" s="17" t="s">
        <v>23</v>
      </c>
      <c r="B117" s="38">
        <v>12441.215422918051</v>
      </c>
      <c r="C117" s="38">
        <v>4333.0940424169958</v>
      </c>
      <c r="D117" s="38">
        <v>41820.12725362544</v>
      </c>
      <c r="E117" s="38">
        <v>4817.5072995227547</v>
      </c>
      <c r="F117" s="38">
        <v>14766.624937770957</v>
      </c>
      <c r="G117" s="37"/>
      <c r="H117" s="34">
        <v>78178.568956254196</v>
      </c>
      <c r="I117" s="37"/>
      <c r="J117" s="38">
        <v>33709.81729517538</v>
      </c>
      <c r="K117" s="38">
        <v>6076.100083679914</v>
      </c>
      <c r="L117" s="38">
        <v>17892.238082517481</v>
      </c>
      <c r="M117" s="38">
        <v>11169.732961770107</v>
      </c>
      <c r="N117" s="38">
        <v>37923.042396521676</v>
      </c>
      <c r="O117" s="38">
        <v>14246.105235540135</v>
      </c>
      <c r="P117" s="38">
        <v>19618.971380266368</v>
      </c>
      <c r="Q117" s="38">
        <v>13443.633737584212</v>
      </c>
      <c r="R117" s="37"/>
      <c r="S117" s="34">
        <v>154079.64117305528</v>
      </c>
      <c r="T117" s="36"/>
      <c r="U117" s="35">
        <v>4907.1720347683813</v>
      </c>
      <c r="V117" s="34">
        <v>227351.03809454109</v>
      </c>
      <c r="W117" s="31">
        <v>16694.695601051146</v>
      </c>
      <c r="X117" s="31">
        <v>3151.4234190279462</v>
      </c>
      <c r="Y117" s="31">
        <v>10144.386603151917</v>
      </c>
      <c r="Z117" s="31">
        <v>29990.505623231009</v>
      </c>
      <c r="AA117" s="33">
        <v>257341.54371777209</v>
      </c>
      <c r="AB117" s="32"/>
      <c r="AC117" s="31"/>
      <c r="AD117" s="44"/>
      <c r="AE117" s="39"/>
      <c r="AG117" s="19"/>
      <c r="AH117" s="19"/>
      <c r="AI117" s="19"/>
      <c r="AJ117" s="19"/>
      <c r="AK117" s="19"/>
      <c r="AL117" s="19"/>
      <c r="AM117" s="19"/>
      <c r="AN117" s="19"/>
      <c r="AP117" s="19"/>
      <c r="AQ117" s="21"/>
      <c r="AR117" s="21"/>
      <c r="AS117" s="21"/>
      <c r="AT117" s="19"/>
      <c r="AU117" s="21"/>
      <c r="AV117" s="19"/>
      <c r="AW117" s="19"/>
      <c r="AZ117" s="19"/>
      <c r="BA117" s="19"/>
      <c r="BB117" s="19"/>
      <c r="BC117" s="19"/>
      <c r="BD117" s="19"/>
      <c r="BE117" s="19"/>
      <c r="BF117" s="19"/>
      <c r="BG117" s="19"/>
      <c r="BH117" s="19"/>
      <c r="BJ117" s="19"/>
      <c r="BK117" s="19"/>
      <c r="BL117" s="21"/>
      <c r="BM117" s="19"/>
      <c r="BN117" s="19"/>
      <c r="BO117" s="19"/>
      <c r="BP117" s="21"/>
      <c r="BQ117" s="19"/>
      <c r="BR117" s="19"/>
      <c r="BS117" s="19"/>
      <c r="BT117" s="20"/>
      <c r="BU117" s="19"/>
      <c r="BV117" s="19"/>
    </row>
    <row r="118" spans="1:74" ht="15" customHeight="1">
      <c r="A118" s="55"/>
      <c r="B118" s="57"/>
      <c r="C118" s="57"/>
      <c r="D118" s="57"/>
      <c r="E118" s="57"/>
      <c r="F118" s="57"/>
      <c r="G118" s="57"/>
      <c r="H118" s="59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9"/>
      <c r="T118" s="28"/>
      <c r="U118" s="60"/>
      <c r="V118" s="59"/>
      <c r="W118" s="58"/>
      <c r="X118" s="58"/>
      <c r="Y118" s="58"/>
      <c r="Z118" s="57"/>
      <c r="AA118" s="56"/>
      <c r="AB118" s="32"/>
      <c r="AC118" s="48"/>
      <c r="AD118" s="44"/>
      <c r="AE118" s="39"/>
      <c r="AG118" s="19"/>
      <c r="AH118" s="19"/>
      <c r="AI118" s="19"/>
      <c r="AJ118" s="19"/>
      <c r="AK118" s="19"/>
      <c r="AL118" s="19"/>
      <c r="AM118" s="19"/>
      <c r="AN118" s="19"/>
      <c r="AP118" s="19"/>
      <c r="AQ118" s="21"/>
      <c r="AR118" s="21"/>
      <c r="AS118" s="21"/>
      <c r="AT118" s="19"/>
      <c r="AU118" s="21"/>
      <c r="AV118" s="19"/>
      <c r="AW118" s="19"/>
      <c r="AZ118" s="19"/>
      <c r="BA118" s="19"/>
      <c r="BB118" s="19"/>
      <c r="BC118" s="19"/>
      <c r="BD118" s="19"/>
      <c r="BE118" s="19"/>
      <c r="BF118" s="19"/>
      <c r="BG118" s="19"/>
      <c r="BH118" s="19"/>
      <c r="BJ118" s="19"/>
      <c r="BK118" s="19"/>
      <c r="BL118" s="21"/>
      <c r="BM118" s="19"/>
      <c r="BN118" s="19"/>
      <c r="BO118" s="19"/>
      <c r="BP118" s="21"/>
      <c r="BQ118" s="19"/>
      <c r="BR118" s="19"/>
      <c r="BS118" s="19"/>
      <c r="BT118" s="20"/>
      <c r="BU118" s="19"/>
      <c r="BV118" s="19"/>
    </row>
    <row r="119" spans="1:74" ht="15" customHeight="1">
      <c r="A119" s="17"/>
      <c r="B119" s="65"/>
      <c r="C119" s="65"/>
      <c r="D119" s="65"/>
      <c r="E119" s="65"/>
      <c r="F119" s="65"/>
      <c r="G119" s="65"/>
      <c r="H119" s="63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3"/>
      <c r="U119" s="67"/>
      <c r="V119" s="63"/>
      <c r="W119" s="66"/>
      <c r="X119" s="66"/>
      <c r="Y119" s="66"/>
      <c r="Z119" s="65"/>
      <c r="AA119" s="64"/>
      <c r="AB119" s="32"/>
      <c r="AC119" s="48"/>
      <c r="AD119" s="44"/>
      <c r="AE119" s="39"/>
      <c r="AG119" s="19"/>
      <c r="AH119" s="19"/>
      <c r="AI119" s="19"/>
      <c r="AJ119" s="19"/>
      <c r="AK119" s="19"/>
      <c r="AL119" s="19"/>
      <c r="AM119" s="19"/>
      <c r="AN119" s="19"/>
      <c r="AP119" s="19"/>
      <c r="AQ119" s="21"/>
      <c r="AR119" s="21"/>
      <c r="AS119" s="21"/>
      <c r="AT119" s="19"/>
      <c r="AU119" s="21"/>
      <c r="AV119" s="19"/>
      <c r="AW119" s="19"/>
      <c r="AZ119" s="19"/>
      <c r="BA119" s="19"/>
      <c r="BB119" s="19"/>
      <c r="BC119" s="19"/>
      <c r="BD119" s="19"/>
      <c r="BE119" s="19"/>
      <c r="BF119" s="19"/>
      <c r="BG119" s="19"/>
      <c r="BH119" s="19"/>
      <c r="BJ119" s="19"/>
      <c r="BK119" s="19"/>
      <c r="BL119" s="21"/>
      <c r="BM119" s="19"/>
      <c r="BN119" s="19"/>
      <c r="BO119" s="19"/>
      <c r="BP119" s="21"/>
      <c r="BQ119" s="19"/>
      <c r="BR119" s="19"/>
      <c r="BS119" s="19"/>
      <c r="BT119" s="20"/>
      <c r="BU119" s="19"/>
      <c r="BV119" s="19"/>
    </row>
    <row r="120" spans="1:74" ht="15" customHeight="1">
      <c r="A120" s="17">
        <v>1995</v>
      </c>
      <c r="B120" s="34">
        <v>13725.56741207575</v>
      </c>
      <c r="C120" s="34">
        <v>4601.6601352877669</v>
      </c>
      <c r="D120" s="34">
        <v>36957.901173442522</v>
      </c>
      <c r="E120" s="34">
        <v>5154.8503580886427</v>
      </c>
      <c r="F120" s="34">
        <v>12314.686968041267</v>
      </c>
      <c r="G120" s="19"/>
      <c r="H120" s="34">
        <v>72754.666046935949</v>
      </c>
      <c r="I120" s="38"/>
      <c r="J120" s="34">
        <v>30954.748286182254</v>
      </c>
      <c r="K120" s="34">
        <v>5632.035990494589</v>
      </c>
      <c r="L120" s="34">
        <v>17507.241149845493</v>
      </c>
      <c r="M120" s="34">
        <v>10372.423192959815</v>
      </c>
      <c r="N120" s="34">
        <v>35700.630362722659</v>
      </c>
      <c r="O120" s="34">
        <v>14113.217660079585</v>
      </c>
      <c r="P120" s="34">
        <v>18911.66987534229</v>
      </c>
      <c r="Q120" s="34">
        <v>13162.429778198944</v>
      </c>
      <c r="R120" s="34"/>
      <c r="S120" s="34">
        <v>146354.39629582563</v>
      </c>
      <c r="T120" s="12"/>
      <c r="U120" s="42">
        <v>4537.3790529836797</v>
      </c>
      <c r="V120" s="34">
        <v>214571.68328977789</v>
      </c>
      <c r="W120" s="34">
        <v>16266.171293612104</v>
      </c>
      <c r="X120" s="34">
        <v>2637.4019497709146</v>
      </c>
      <c r="Y120" s="34">
        <v>9710.8449862994767</v>
      </c>
      <c r="Z120" s="34">
        <v>28614.418229682495</v>
      </c>
      <c r="AA120" s="33">
        <v>243186.10151946038</v>
      </c>
      <c r="AB120" s="32"/>
      <c r="AC120" s="48"/>
      <c r="AD120" s="44"/>
      <c r="AE120" s="39"/>
      <c r="AG120" s="19"/>
      <c r="AH120" s="19"/>
      <c r="AI120" s="19"/>
      <c r="AJ120" s="19"/>
      <c r="AK120" s="19"/>
      <c r="AL120" s="19"/>
      <c r="AM120" s="19"/>
      <c r="AN120" s="19"/>
      <c r="AP120" s="19"/>
      <c r="AQ120" s="21"/>
      <c r="AR120" s="21"/>
      <c r="AS120" s="21"/>
      <c r="AT120" s="19"/>
      <c r="AU120" s="21"/>
      <c r="AV120" s="19"/>
      <c r="AW120" s="19"/>
      <c r="AZ120" s="19"/>
      <c r="BA120" s="19"/>
      <c r="BB120" s="19"/>
      <c r="BC120" s="19"/>
      <c r="BD120" s="19"/>
      <c r="BE120" s="19"/>
      <c r="BF120" s="19"/>
      <c r="BG120" s="19"/>
      <c r="BH120" s="19"/>
      <c r="BJ120" s="19"/>
      <c r="BK120" s="19"/>
      <c r="BL120" s="21"/>
      <c r="BM120" s="19"/>
      <c r="BN120" s="19"/>
      <c r="BO120" s="19"/>
      <c r="BP120" s="21"/>
      <c r="BQ120" s="19"/>
      <c r="BR120" s="19"/>
      <c r="BS120" s="19"/>
      <c r="BT120" s="20"/>
      <c r="BU120" s="19"/>
      <c r="BV120" s="19"/>
    </row>
    <row r="121" spans="1:74" ht="15" customHeight="1">
      <c r="A121" s="17" t="s">
        <v>26</v>
      </c>
      <c r="B121" s="38">
        <v>13619.179154007712</v>
      </c>
      <c r="C121" s="38">
        <v>4159.7182910756319</v>
      </c>
      <c r="D121" s="38">
        <v>36121.536204169483</v>
      </c>
      <c r="E121" s="38">
        <v>4795.8413335543828</v>
      </c>
      <c r="F121" s="38">
        <v>13217.926365678128</v>
      </c>
      <c r="G121" s="37"/>
      <c r="H121" s="34">
        <v>71914.201348485338</v>
      </c>
      <c r="I121" s="37"/>
      <c r="J121" s="38">
        <v>30999.694662505804</v>
      </c>
      <c r="K121" s="38">
        <v>6190.4539188513108</v>
      </c>
      <c r="L121" s="38">
        <v>17464.126934311847</v>
      </c>
      <c r="M121" s="38">
        <v>10342.560897703137</v>
      </c>
      <c r="N121" s="38">
        <v>34648.600560007289</v>
      </c>
      <c r="O121" s="38">
        <v>14042.613497309776</v>
      </c>
      <c r="P121" s="38">
        <v>15571.13976569353</v>
      </c>
      <c r="Q121" s="38">
        <v>12647.740355172375</v>
      </c>
      <c r="R121" s="37"/>
      <c r="S121" s="34">
        <v>141906.93059155508</v>
      </c>
      <c r="T121" s="36"/>
      <c r="U121" s="35">
        <v>4587.5227574368237</v>
      </c>
      <c r="V121" s="34">
        <v>209233.6091826036</v>
      </c>
      <c r="W121" s="31">
        <v>16138.873916656068</v>
      </c>
      <c r="X121" s="31">
        <v>2775.0472725886439</v>
      </c>
      <c r="Y121" s="31">
        <v>9820.5727310300572</v>
      </c>
      <c r="Z121" s="31">
        <v>28734.49392027477</v>
      </c>
      <c r="AA121" s="33">
        <v>237968.10310287838</v>
      </c>
      <c r="AB121" s="32"/>
      <c r="AC121" s="31"/>
      <c r="AD121" s="44"/>
      <c r="AE121" s="39"/>
      <c r="AG121" s="19"/>
      <c r="AH121" s="19"/>
      <c r="AI121" s="19"/>
      <c r="AJ121" s="19"/>
      <c r="AK121" s="19"/>
      <c r="AL121" s="19"/>
      <c r="AM121" s="19"/>
      <c r="AN121" s="19"/>
      <c r="AP121" s="19"/>
      <c r="AQ121" s="21"/>
      <c r="AR121" s="21"/>
      <c r="AS121" s="21"/>
      <c r="AT121" s="19"/>
      <c r="AU121" s="21"/>
      <c r="AV121" s="19"/>
      <c r="AW121" s="19"/>
      <c r="AZ121" s="19"/>
      <c r="BA121" s="19"/>
      <c r="BB121" s="19"/>
      <c r="BC121" s="19"/>
      <c r="BD121" s="19"/>
      <c r="BE121" s="19"/>
      <c r="BF121" s="19"/>
      <c r="BG121" s="19"/>
      <c r="BH121" s="19"/>
      <c r="BJ121" s="19"/>
      <c r="BK121" s="19"/>
      <c r="BL121" s="21"/>
      <c r="BM121" s="19"/>
      <c r="BN121" s="19"/>
      <c r="BO121" s="19"/>
      <c r="BP121" s="21"/>
      <c r="BQ121" s="19"/>
      <c r="BR121" s="19"/>
      <c r="BS121" s="19"/>
      <c r="BT121" s="20"/>
      <c r="BU121" s="19"/>
      <c r="BV121" s="19"/>
    </row>
    <row r="122" spans="1:74" ht="15" customHeight="1">
      <c r="A122" s="17" t="s">
        <v>25</v>
      </c>
      <c r="B122" s="38">
        <v>17478.325173142308</v>
      </c>
      <c r="C122" s="38">
        <v>4701.3976194010984</v>
      </c>
      <c r="D122" s="38">
        <v>36755.730121385706</v>
      </c>
      <c r="E122" s="38">
        <v>5185.894677291154</v>
      </c>
      <c r="F122" s="38">
        <v>12097.478633686953</v>
      </c>
      <c r="G122" s="37"/>
      <c r="H122" s="34">
        <v>76218.826224907214</v>
      </c>
      <c r="I122" s="37"/>
      <c r="J122" s="38">
        <v>32207.827578288561</v>
      </c>
      <c r="K122" s="38">
        <v>5216.0727976288499</v>
      </c>
      <c r="L122" s="38">
        <v>17385.731374029918</v>
      </c>
      <c r="M122" s="38">
        <v>10164.839805826943</v>
      </c>
      <c r="N122" s="38">
        <v>35314.63512654513</v>
      </c>
      <c r="O122" s="38">
        <v>14135.682885415747</v>
      </c>
      <c r="P122" s="38">
        <v>20043.857387661563</v>
      </c>
      <c r="Q122" s="38">
        <v>13207.602213948065</v>
      </c>
      <c r="R122" s="37"/>
      <c r="S122" s="34">
        <v>147676.24916934478</v>
      </c>
      <c r="T122" s="36"/>
      <c r="U122" s="35">
        <v>4458.9185435829186</v>
      </c>
      <c r="V122" s="34">
        <v>219436.15685066907</v>
      </c>
      <c r="W122" s="31">
        <v>16435.262022989562</v>
      </c>
      <c r="X122" s="31">
        <v>2525.2353674051974</v>
      </c>
      <c r="Y122" s="31">
        <v>9696.9850390165902</v>
      </c>
      <c r="Z122" s="31">
        <v>28657.48242941135</v>
      </c>
      <c r="AA122" s="33">
        <v>248093.63928008042</v>
      </c>
      <c r="AB122" s="32"/>
      <c r="AC122" s="31"/>
      <c r="AD122" s="44"/>
      <c r="AE122" s="39"/>
      <c r="AG122" s="19"/>
      <c r="AH122" s="19"/>
      <c r="AI122" s="19"/>
      <c r="AJ122" s="19"/>
      <c r="AK122" s="19"/>
      <c r="AL122" s="19"/>
      <c r="AM122" s="19"/>
      <c r="AN122" s="19"/>
      <c r="AP122" s="19"/>
      <c r="AQ122" s="21"/>
      <c r="AR122" s="21"/>
      <c r="AS122" s="21"/>
      <c r="AT122" s="19"/>
      <c r="AU122" s="21"/>
      <c r="AV122" s="19"/>
      <c r="AW122" s="19"/>
      <c r="AZ122" s="19"/>
      <c r="BA122" s="19"/>
      <c r="BB122" s="19"/>
      <c r="BC122" s="19"/>
      <c r="BD122" s="19"/>
      <c r="BE122" s="19"/>
      <c r="BF122" s="19"/>
      <c r="BG122" s="19"/>
      <c r="BH122" s="19"/>
      <c r="BJ122" s="19"/>
      <c r="BK122" s="19"/>
      <c r="BL122" s="21"/>
      <c r="BM122" s="19"/>
      <c r="BN122" s="19"/>
      <c r="BO122" s="19"/>
      <c r="BP122" s="21"/>
      <c r="BQ122" s="19"/>
      <c r="BR122" s="19"/>
      <c r="BS122" s="19"/>
      <c r="BT122" s="20"/>
      <c r="BU122" s="19"/>
      <c r="BV122" s="19"/>
    </row>
    <row r="123" spans="1:74" ht="15" customHeight="1">
      <c r="A123" s="17" t="s">
        <v>24</v>
      </c>
      <c r="B123" s="38">
        <v>11976.304288871805</v>
      </c>
      <c r="C123" s="38">
        <v>4857.2974394994953</v>
      </c>
      <c r="D123" s="38">
        <v>36976.647150688739</v>
      </c>
      <c r="E123" s="38">
        <v>5533.0698682595366</v>
      </c>
      <c r="F123" s="38">
        <v>11920.475120843903</v>
      </c>
      <c r="G123" s="37"/>
      <c r="H123" s="34">
        <v>71263.793868163484</v>
      </c>
      <c r="I123" s="37"/>
      <c r="J123" s="38">
        <v>30319.219511939071</v>
      </c>
      <c r="K123" s="38">
        <v>5348.0581662986633</v>
      </c>
      <c r="L123" s="38">
        <v>17355.027726103923</v>
      </c>
      <c r="M123" s="38">
        <v>10050.968329588548</v>
      </c>
      <c r="N123" s="38">
        <v>36017.04954812608</v>
      </c>
      <c r="O123" s="38">
        <v>14148.472612229551</v>
      </c>
      <c r="P123" s="38">
        <v>20155.333438748952</v>
      </c>
      <c r="Q123" s="38">
        <v>13514.836601504183</v>
      </c>
      <c r="R123" s="37"/>
      <c r="S123" s="34">
        <v>146908.96593453898</v>
      </c>
      <c r="T123" s="36"/>
      <c r="U123" s="35">
        <v>4295.2854027093445</v>
      </c>
      <c r="V123" s="34">
        <v>213877.47439999311</v>
      </c>
      <c r="W123" s="31">
        <v>15891.660202491066</v>
      </c>
      <c r="X123" s="31">
        <v>2522.2105217943526</v>
      </c>
      <c r="Y123" s="31">
        <v>9923.3539897468909</v>
      </c>
      <c r="Z123" s="31">
        <v>28337.224714032309</v>
      </c>
      <c r="AA123" s="33">
        <v>242214.69911402542</v>
      </c>
      <c r="AB123" s="32"/>
      <c r="AC123" s="31"/>
      <c r="AD123" s="44"/>
      <c r="AE123" s="39"/>
      <c r="AG123" s="19"/>
      <c r="AH123" s="19"/>
      <c r="AI123" s="19"/>
      <c r="AJ123" s="19"/>
      <c r="AK123" s="19"/>
      <c r="AL123" s="19"/>
      <c r="AM123" s="19"/>
      <c r="AN123" s="19"/>
      <c r="AP123" s="19"/>
      <c r="AQ123" s="21"/>
      <c r="AR123" s="21"/>
      <c r="AS123" s="21"/>
      <c r="AT123" s="19"/>
      <c r="AU123" s="21"/>
      <c r="AV123" s="19"/>
      <c r="AW123" s="19"/>
      <c r="AZ123" s="19"/>
      <c r="BA123" s="19"/>
      <c r="BB123" s="19"/>
      <c r="BC123" s="19"/>
      <c r="BD123" s="19"/>
      <c r="BE123" s="19"/>
      <c r="BF123" s="19"/>
      <c r="BG123" s="19"/>
      <c r="BH123" s="19"/>
      <c r="BJ123" s="19"/>
      <c r="BK123" s="19"/>
      <c r="BL123" s="21"/>
      <c r="BM123" s="19"/>
      <c r="BN123" s="19"/>
      <c r="BO123" s="19"/>
      <c r="BP123" s="21"/>
      <c r="BQ123" s="19"/>
      <c r="BR123" s="19"/>
      <c r="BS123" s="19"/>
      <c r="BT123" s="20"/>
      <c r="BU123" s="19"/>
      <c r="BV123" s="19"/>
    </row>
    <row r="124" spans="1:74" ht="15" customHeight="1">
      <c r="A124" s="17" t="s">
        <v>23</v>
      </c>
      <c r="B124" s="38">
        <v>11828.461032281177</v>
      </c>
      <c r="C124" s="38">
        <v>4688.2271911748421</v>
      </c>
      <c r="D124" s="38">
        <v>37977.691217526146</v>
      </c>
      <c r="E124" s="38">
        <v>5104.5955532495009</v>
      </c>
      <c r="F124" s="38">
        <v>12022.867751956092</v>
      </c>
      <c r="G124" s="37"/>
      <c r="H124" s="34">
        <v>71621.842746187758</v>
      </c>
      <c r="I124" s="37"/>
      <c r="J124" s="38">
        <v>30292.251391995585</v>
      </c>
      <c r="K124" s="38">
        <v>5773.559079199531</v>
      </c>
      <c r="L124" s="38">
        <v>17824.078564936292</v>
      </c>
      <c r="M124" s="38">
        <v>10931.323738720634</v>
      </c>
      <c r="N124" s="38">
        <v>36822.236216212114</v>
      </c>
      <c r="O124" s="38">
        <v>14126.101645363271</v>
      </c>
      <c r="P124" s="38">
        <v>19876.348909265107</v>
      </c>
      <c r="Q124" s="38">
        <v>13279.539942171155</v>
      </c>
      <c r="R124" s="37"/>
      <c r="S124" s="34">
        <v>148925.43948786371</v>
      </c>
      <c r="T124" s="36"/>
      <c r="U124" s="35">
        <v>4807.7895082056311</v>
      </c>
      <c r="V124" s="34">
        <v>215739.49272584583</v>
      </c>
      <c r="W124" s="31">
        <v>16598.889032311712</v>
      </c>
      <c r="X124" s="31">
        <v>2727.1146372954649</v>
      </c>
      <c r="Y124" s="31">
        <v>9402.4681854043702</v>
      </c>
      <c r="Z124" s="31">
        <v>28728.471855011547</v>
      </c>
      <c r="AA124" s="33">
        <v>244467.96458085737</v>
      </c>
      <c r="AB124" s="32"/>
      <c r="AC124" s="31"/>
      <c r="AD124" s="44"/>
      <c r="AE124" s="39"/>
      <c r="AG124" s="19"/>
      <c r="AH124" s="19"/>
      <c r="AI124" s="19"/>
      <c r="AJ124" s="19"/>
      <c r="AK124" s="19"/>
      <c r="AL124" s="19"/>
      <c r="AM124" s="19"/>
      <c r="AN124" s="19"/>
      <c r="AP124" s="19"/>
      <c r="AQ124" s="21"/>
      <c r="AR124" s="21"/>
      <c r="AS124" s="21"/>
      <c r="AT124" s="19"/>
      <c r="AU124" s="21"/>
      <c r="AV124" s="19"/>
      <c r="AW124" s="19"/>
      <c r="AZ124" s="19"/>
      <c r="BA124" s="19"/>
      <c r="BB124" s="19"/>
      <c r="BC124" s="19"/>
      <c r="BD124" s="19"/>
      <c r="BE124" s="19"/>
      <c r="BF124" s="19"/>
      <c r="BG124" s="19"/>
      <c r="BH124" s="19"/>
      <c r="BJ124" s="19"/>
      <c r="BK124" s="19"/>
      <c r="BL124" s="21"/>
      <c r="BM124" s="19"/>
      <c r="BN124" s="19"/>
      <c r="BO124" s="19"/>
      <c r="BP124" s="21"/>
      <c r="BQ124" s="19"/>
      <c r="BR124" s="19"/>
      <c r="BS124" s="19"/>
      <c r="BT124" s="20"/>
      <c r="BU124" s="19"/>
      <c r="BV124" s="19"/>
    </row>
    <row r="125" spans="1:74" ht="15" customHeight="1">
      <c r="A125" s="55"/>
      <c r="B125" s="57"/>
      <c r="C125" s="57"/>
      <c r="D125" s="57"/>
      <c r="E125" s="57"/>
      <c r="F125" s="57"/>
      <c r="G125" s="57"/>
      <c r="H125" s="59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9"/>
      <c r="T125" s="28"/>
      <c r="U125" s="60"/>
      <c r="V125" s="59"/>
      <c r="W125" s="58"/>
      <c r="X125" s="58"/>
      <c r="Y125" s="58"/>
      <c r="Z125" s="57"/>
      <c r="AA125" s="56"/>
      <c r="AB125" s="32"/>
      <c r="AC125" s="48"/>
      <c r="AD125" s="44"/>
      <c r="AE125" s="39"/>
      <c r="AG125" s="19"/>
      <c r="AH125" s="19"/>
      <c r="AI125" s="19"/>
      <c r="AJ125" s="19"/>
      <c r="AK125" s="19"/>
      <c r="AL125" s="19"/>
      <c r="AM125" s="19"/>
      <c r="AN125" s="19"/>
      <c r="AP125" s="19"/>
      <c r="AQ125" s="21"/>
      <c r="AR125" s="21"/>
      <c r="AS125" s="21"/>
      <c r="AT125" s="19"/>
      <c r="AU125" s="21"/>
      <c r="AV125" s="19"/>
      <c r="AW125" s="19"/>
      <c r="AZ125" s="19"/>
      <c r="BA125" s="19"/>
      <c r="BB125" s="19"/>
      <c r="BC125" s="19"/>
      <c r="BD125" s="19"/>
      <c r="BE125" s="19"/>
      <c r="BF125" s="19"/>
      <c r="BG125" s="19"/>
      <c r="BH125" s="19"/>
      <c r="BJ125" s="19"/>
      <c r="BK125" s="19"/>
      <c r="BL125" s="21"/>
      <c r="BM125" s="19"/>
      <c r="BN125" s="19"/>
      <c r="BO125" s="19"/>
      <c r="BP125" s="21"/>
      <c r="BQ125" s="19"/>
      <c r="BR125" s="19"/>
      <c r="BS125" s="19"/>
      <c r="BT125" s="20"/>
      <c r="BU125" s="19"/>
      <c r="BV125" s="19"/>
    </row>
    <row r="126" spans="1:74" ht="15" customHeight="1">
      <c r="A126" s="17"/>
      <c r="B126" s="65"/>
      <c r="C126" s="65"/>
      <c r="D126" s="65"/>
      <c r="E126" s="65"/>
      <c r="F126" s="65"/>
      <c r="G126" s="65"/>
      <c r="H126" s="63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3"/>
      <c r="U126" s="67"/>
      <c r="V126" s="63"/>
      <c r="W126" s="66"/>
      <c r="X126" s="66"/>
      <c r="Y126" s="66"/>
      <c r="Z126" s="65"/>
      <c r="AA126" s="64"/>
      <c r="AB126" s="32"/>
      <c r="AC126" s="48"/>
      <c r="AD126" s="44"/>
      <c r="AE126" s="39"/>
      <c r="AG126" s="19"/>
      <c r="AH126" s="19"/>
      <c r="AI126" s="19"/>
      <c r="AJ126" s="19"/>
      <c r="AK126" s="19"/>
      <c r="AL126" s="19"/>
      <c r="AM126" s="19"/>
      <c r="AN126" s="19"/>
      <c r="AP126" s="19"/>
      <c r="AQ126" s="21"/>
      <c r="AR126" s="21"/>
      <c r="AS126" s="21"/>
      <c r="AT126" s="19"/>
      <c r="AU126" s="21"/>
      <c r="AV126" s="19"/>
      <c r="AW126" s="19"/>
      <c r="AZ126" s="19"/>
      <c r="BA126" s="19"/>
      <c r="BB126" s="19"/>
      <c r="BC126" s="19"/>
      <c r="BD126" s="19"/>
      <c r="BE126" s="19"/>
      <c r="BF126" s="19"/>
      <c r="BG126" s="19"/>
      <c r="BH126" s="19"/>
      <c r="BJ126" s="19"/>
      <c r="BK126" s="19"/>
      <c r="BL126" s="21"/>
      <c r="BM126" s="19"/>
      <c r="BN126" s="19"/>
      <c r="BO126" s="19"/>
      <c r="BP126" s="21"/>
      <c r="BQ126" s="19"/>
      <c r="BR126" s="19"/>
      <c r="BS126" s="19"/>
      <c r="BT126" s="20"/>
      <c r="BU126" s="19"/>
      <c r="BV126" s="19"/>
    </row>
    <row r="127" spans="1:74" ht="15" customHeight="1">
      <c r="A127" s="17">
        <v>1996</v>
      </c>
      <c r="B127" s="34">
        <v>13567.66777792724</v>
      </c>
      <c r="C127" s="34">
        <v>4809.9774428872315</v>
      </c>
      <c r="D127" s="34">
        <v>39349.655139573028</v>
      </c>
      <c r="E127" s="34">
        <v>5363.767551336151</v>
      </c>
      <c r="F127" s="34">
        <v>13351.032379232332</v>
      </c>
      <c r="G127" s="19"/>
      <c r="H127" s="34">
        <v>76442.100290955976</v>
      </c>
      <c r="I127" s="38"/>
      <c r="J127" s="34">
        <v>33286.402291896091</v>
      </c>
      <c r="K127" s="34">
        <v>6193.6434653634224</v>
      </c>
      <c r="L127" s="34">
        <v>18718.440269178955</v>
      </c>
      <c r="M127" s="34">
        <v>11805.804285618393</v>
      </c>
      <c r="N127" s="34">
        <v>37043.82568528859</v>
      </c>
      <c r="O127" s="34">
        <v>14200.706768770491</v>
      </c>
      <c r="P127" s="34">
        <v>19625.576715416861</v>
      </c>
      <c r="Q127" s="34">
        <v>13413.25266716606</v>
      </c>
      <c r="R127" s="38"/>
      <c r="S127" s="34">
        <v>154287.65214869886</v>
      </c>
      <c r="T127" s="12"/>
      <c r="U127" s="42">
        <v>5253.7463884157341</v>
      </c>
      <c r="V127" s="34">
        <v>225476.00605123909</v>
      </c>
      <c r="W127" s="34">
        <v>17613.881345151993</v>
      </c>
      <c r="X127" s="34">
        <v>3155.148155019805</v>
      </c>
      <c r="Y127" s="34">
        <v>10381.207504436239</v>
      </c>
      <c r="Z127" s="34">
        <v>31150.23700460804</v>
      </c>
      <c r="AA127" s="33">
        <v>256626.24305584712</v>
      </c>
      <c r="AB127" s="32"/>
      <c r="AC127" s="48"/>
      <c r="AD127" s="44"/>
      <c r="AE127" s="39"/>
      <c r="AG127" s="19"/>
      <c r="AH127" s="19"/>
      <c r="AI127" s="19"/>
      <c r="AJ127" s="19"/>
      <c r="AK127" s="19"/>
      <c r="AL127" s="19"/>
      <c r="AM127" s="19"/>
      <c r="AN127" s="19"/>
      <c r="AP127" s="19"/>
      <c r="AQ127" s="21"/>
      <c r="AR127" s="21"/>
      <c r="AS127" s="21"/>
      <c r="AT127" s="19"/>
      <c r="AU127" s="21"/>
      <c r="AV127" s="19"/>
      <c r="AW127" s="19"/>
      <c r="AZ127" s="19"/>
      <c r="BA127" s="19"/>
      <c r="BB127" s="19"/>
      <c r="BC127" s="19"/>
      <c r="BD127" s="19"/>
      <c r="BE127" s="19"/>
      <c r="BF127" s="19"/>
      <c r="BG127" s="19"/>
      <c r="BH127" s="19"/>
      <c r="BJ127" s="19"/>
      <c r="BK127" s="19"/>
      <c r="BL127" s="21"/>
      <c r="BM127" s="19"/>
      <c r="BN127" s="19"/>
      <c r="BO127" s="19"/>
      <c r="BP127" s="21"/>
      <c r="BQ127" s="19"/>
      <c r="BR127" s="19"/>
      <c r="BS127" s="19"/>
      <c r="BT127" s="20"/>
      <c r="BU127" s="19"/>
      <c r="BV127" s="19"/>
    </row>
    <row r="128" spans="1:74" ht="15" customHeight="1">
      <c r="A128" s="17" t="s">
        <v>26</v>
      </c>
      <c r="B128" s="38">
        <v>12634.629545750602</v>
      </c>
      <c r="C128" s="38">
        <v>4661.9914274231924</v>
      </c>
      <c r="D128" s="38">
        <v>35137.208279520273</v>
      </c>
      <c r="E128" s="38">
        <v>4975.249705657332</v>
      </c>
      <c r="F128" s="38">
        <v>12058.391246975656</v>
      </c>
      <c r="G128" s="37"/>
      <c r="H128" s="34">
        <v>69467.470205327059</v>
      </c>
      <c r="I128" s="37"/>
      <c r="J128" s="38">
        <v>29843.266224530871</v>
      </c>
      <c r="K128" s="38">
        <v>6344.5493213086156</v>
      </c>
      <c r="L128" s="38">
        <v>17564.086072207578</v>
      </c>
      <c r="M128" s="38">
        <v>11164.273557789524</v>
      </c>
      <c r="N128" s="38">
        <v>34905.735249014862</v>
      </c>
      <c r="O128" s="38">
        <v>14102.346960031367</v>
      </c>
      <c r="P128" s="38">
        <v>15985.372010110132</v>
      </c>
      <c r="Q128" s="38">
        <v>12469.923392055542</v>
      </c>
      <c r="R128" s="37"/>
      <c r="S128" s="34">
        <v>142379.55278704851</v>
      </c>
      <c r="T128" s="36"/>
      <c r="U128" s="35">
        <v>4993.3965925964749</v>
      </c>
      <c r="V128" s="34">
        <v>206853.62639977908</v>
      </c>
      <c r="W128" s="31">
        <v>17469.175052977487</v>
      </c>
      <c r="X128" s="31">
        <v>2564.2923628975686</v>
      </c>
      <c r="Y128" s="31">
        <v>9678.9427682291134</v>
      </c>
      <c r="Z128" s="31">
        <v>29712.41018410417</v>
      </c>
      <c r="AA128" s="33">
        <v>236566.03658388325</v>
      </c>
      <c r="AB128" s="32"/>
      <c r="AC128" s="31"/>
      <c r="AD128" s="44"/>
      <c r="AE128" s="39"/>
      <c r="AG128" s="19"/>
      <c r="AH128" s="19"/>
      <c r="AI128" s="19"/>
      <c r="AJ128" s="19"/>
      <c r="AK128" s="19"/>
      <c r="AL128" s="19"/>
      <c r="AM128" s="19"/>
      <c r="AN128" s="19"/>
      <c r="AP128" s="19"/>
      <c r="AQ128" s="21"/>
      <c r="AR128" s="21"/>
      <c r="AS128" s="21"/>
      <c r="AT128" s="19"/>
      <c r="AU128" s="21"/>
      <c r="AV128" s="19"/>
      <c r="AW128" s="19"/>
      <c r="AZ128" s="19"/>
      <c r="BA128" s="19"/>
      <c r="BB128" s="19"/>
      <c r="BC128" s="19"/>
      <c r="BD128" s="19"/>
      <c r="BE128" s="19"/>
      <c r="BF128" s="19"/>
      <c r="BG128" s="19"/>
      <c r="BH128" s="19"/>
      <c r="BJ128" s="19"/>
      <c r="BK128" s="19"/>
      <c r="BL128" s="21"/>
      <c r="BM128" s="19"/>
      <c r="BN128" s="19"/>
      <c r="BO128" s="19"/>
      <c r="BP128" s="21"/>
      <c r="BQ128" s="19"/>
      <c r="BR128" s="19"/>
      <c r="BS128" s="19"/>
      <c r="BT128" s="20"/>
      <c r="BU128" s="19"/>
      <c r="BV128" s="19"/>
    </row>
    <row r="129" spans="1:74" ht="15" customHeight="1">
      <c r="A129" s="17" t="s">
        <v>25</v>
      </c>
      <c r="B129" s="38">
        <v>16076.306672100653</v>
      </c>
      <c r="C129" s="38">
        <v>4933.3006362945498</v>
      </c>
      <c r="D129" s="38">
        <v>39732.125546686533</v>
      </c>
      <c r="E129" s="38">
        <v>5405.8597997385468</v>
      </c>
      <c r="F129" s="38">
        <v>12614.722706672974</v>
      </c>
      <c r="G129" s="37"/>
      <c r="H129" s="34">
        <v>78762.315361493253</v>
      </c>
      <c r="I129" s="37"/>
      <c r="J129" s="38">
        <v>34695.884828264541</v>
      </c>
      <c r="K129" s="38">
        <v>5751.5780176317803</v>
      </c>
      <c r="L129" s="38">
        <v>18541.70486743137</v>
      </c>
      <c r="M129" s="38">
        <v>11703.636550367079</v>
      </c>
      <c r="N129" s="38">
        <v>37268.444896530425</v>
      </c>
      <c r="O129" s="38">
        <v>14241.893374575013</v>
      </c>
      <c r="P129" s="38">
        <v>20782.988500001698</v>
      </c>
      <c r="Q129" s="38">
        <v>13555.085862361482</v>
      </c>
      <c r="R129" s="37"/>
      <c r="S129" s="34">
        <v>156541.21689716337</v>
      </c>
      <c r="T129" s="36"/>
      <c r="U129" s="35">
        <v>5190.2836115814716</v>
      </c>
      <c r="V129" s="34">
        <v>230113.24864707515</v>
      </c>
      <c r="W129" s="31">
        <v>17162.697659617956</v>
      </c>
      <c r="X129" s="31">
        <v>3017.0384020918841</v>
      </c>
      <c r="Y129" s="31">
        <v>10458.940450175292</v>
      </c>
      <c r="Z129" s="31">
        <v>30638.676511885133</v>
      </c>
      <c r="AA129" s="33">
        <v>260751.92515896028</v>
      </c>
      <c r="AB129" s="32"/>
      <c r="AC129" s="31"/>
      <c r="AD129" s="44"/>
      <c r="AE129" s="39"/>
      <c r="AG129" s="19"/>
      <c r="AH129" s="19"/>
      <c r="AI129" s="19"/>
      <c r="AJ129" s="19"/>
      <c r="AK129" s="19"/>
      <c r="AL129" s="19"/>
      <c r="AM129" s="19"/>
      <c r="AN129" s="19"/>
      <c r="AP129" s="19"/>
      <c r="AQ129" s="21"/>
      <c r="AR129" s="21"/>
      <c r="AS129" s="21"/>
      <c r="AT129" s="19"/>
      <c r="AU129" s="21"/>
      <c r="AV129" s="19"/>
      <c r="AW129" s="19"/>
      <c r="AZ129" s="19"/>
      <c r="BA129" s="19"/>
      <c r="BB129" s="19"/>
      <c r="BC129" s="19"/>
      <c r="BD129" s="19"/>
      <c r="BE129" s="19"/>
      <c r="BF129" s="19"/>
      <c r="BG129" s="19"/>
      <c r="BH129" s="19"/>
      <c r="BJ129" s="19"/>
      <c r="BK129" s="19"/>
      <c r="BL129" s="21"/>
      <c r="BM129" s="19"/>
      <c r="BN129" s="19"/>
      <c r="BO129" s="19"/>
      <c r="BP129" s="21"/>
      <c r="BQ129" s="19"/>
      <c r="BR129" s="19"/>
      <c r="BS129" s="19"/>
      <c r="BT129" s="20"/>
      <c r="BU129" s="19"/>
      <c r="BV129" s="19"/>
    </row>
    <row r="130" spans="1:74" ht="15" customHeight="1">
      <c r="A130" s="17" t="s">
        <v>24</v>
      </c>
      <c r="B130" s="38">
        <v>12356.14463143785</v>
      </c>
      <c r="C130" s="38">
        <v>4878.9428728549774</v>
      </c>
      <c r="D130" s="38">
        <v>40374.276429213496</v>
      </c>
      <c r="E130" s="38">
        <v>5732.8181076262845</v>
      </c>
      <c r="F130" s="38">
        <v>14011.709371020506</v>
      </c>
      <c r="G130" s="37"/>
      <c r="H130" s="34">
        <v>77353.891412153112</v>
      </c>
      <c r="I130" s="37"/>
      <c r="J130" s="38">
        <v>34231.237379668382</v>
      </c>
      <c r="K130" s="38">
        <v>6114.4451437129119</v>
      </c>
      <c r="L130" s="38">
        <v>19032.423696408288</v>
      </c>
      <c r="M130" s="38">
        <v>12144.371052597544</v>
      </c>
      <c r="N130" s="38">
        <v>37288.105871215172</v>
      </c>
      <c r="O130" s="38">
        <v>14233.399696522083</v>
      </c>
      <c r="P130" s="38">
        <v>20970.131671932664</v>
      </c>
      <c r="Q130" s="38">
        <v>13936.974624810027</v>
      </c>
      <c r="R130" s="37"/>
      <c r="S130" s="34">
        <v>157951.08913686709</v>
      </c>
      <c r="T130" s="36"/>
      <c r="U130" s="35">
        <v>5473.0466085324942</v>
      </c>
      <c r="V130" s="34">
        <v>229831.93394048771</v>
      </c>
      <c r="W130" s="31">
        <v>17860.398193884237</v>
      </c>
      <c r="X130" s="31">
        <v>3528.9401674114652</v>
      </c>
      <c r="Y130" s="31">
        <v>10945.691483527708</v>
      </c>
      <c r="Z130" s="31">
        <v>32335.02984482341</v>
      </c>
      <c r="AA130" s="33">
        <v>262166.96378531109</v>
      </c>
      <c r="AB130" s="32"/>
      <c r="AC130" s="31"/>
      <c r="AD130" s="44"/>
      <c r="AE130" s="39"/>
      <c r="AG130" s="19"/>
      <c r="AH130" s="19"/>
      <c r="AI130" s="19"/>
      <c r="AJ130" s="19"/>
      <c r="AK130" s="19"/>
      <c r="AL130" s="19"/>
      <c r="AM130" s="19"/>
      <c r="AN130" s="19"/>
      <c r="AP130" s="19"/>
      <c r="AQ130" s="21"/>
      <c r="AR130" s="21"/>
      <c r="AS130" s="21"/>
      <c r="AT130" s="19"/>
      <c r="AU130" s="21"/>
      <c r="AV130" s="19"/>
      <c r="AW130" s="19"/>
      <c r="AZ130" s="19"/>
      <c r="BA130" s="19"/>
      <c r="BB130" s="19"/>
      <c r="BC130" s="19"/>
      <c r="BD130" s="19"/>
      <c r="BE130" s="19"/>
      <c r="BF130" s="19"/>
      <c r="BG130" s="19"/>
      <c r="BH130" s="19"/>
      <c r="BJ130" s="19"/>
      <c r="BK130" s="19"/>
      <c r="BL130" s="21"/>
      <c r="BM130" s="19"/>
      <c r="BN130" s="19"/>
      <c r="BO130" s="19"/>
      <c r="BP130" s="21"/>
      <c r="BQ130" s="19"/>
      <c r="BR130" s="19"/>
      <c r="BS130" s="19"/>
      <c r="BT130" s="20"/>
      <c r="BU130" s="19"/>
      <c r="BV130" s="19"/>
    </row>
    <row r="131" spans="1:74" ht="15" customHeight="1">
      <c r="A131" s="17" t="s">
        <v>23</v>
      </c>
      <c r="B131" s="38">
        <v>13203.590262419861</v>
      </c>
      <c r="C131" s="38">
        <v>4765.6748349762065</v>
      </c>
      <c r="D131" s="38">
        <v>42155.010302871815</v>
      </c>
      <c r="E131" s="38">
        <v>5341.1425923224424</v>
      </c>
      <c r="F131" s="38">
        <v>14719.306192260196</v>
      </c>
      <c r="G131" s="37"/>
      <c r="H131" s="34">
        <v>80184.724184850522</v>
      </c>
      <c r="I131" s="37"/>
      <c r="J131" s="38">
        <v>34375.22073512058</v>
      </c>
      <c r="K131" s="38">
        <v>6564.0013788003816</v>
      </c>
      <c r="L131" s="38">
        <v>19735.546440668586</v>
      </c>
      <c r="M131" s="38">
        <v>12210.935981719416</v>
      </c>
      <c r="N131" s="38">
        <v>38713.016724393899</v>
      </c>
      <c r="O131" s="38">
        <v>14225.187043953501</v>
      </c>
      <c r="P131" s="38">
        <v>20763.814679622945</v>
      </c>
      <c r="Q131" s="38">
        <v>13691.026789437183</v>
      </c>
      <c r="R131" s="37"/>
      <c r="S131" s="34">
        <v>160278.7497737165</v>
      </c>
      <c r="T131" s="36"/>
      <c r="U131" s="35">
        <v>5358.2587409524967</v>
      </c>
      <c r="V131" s="34">
        <v>235105.21521761452</v>
      </c>
      <c r="W131" s="31">
        <v>17963.254474128295</v>
      </c>
      <c r="X131" s="31">
        <v>3510.3216876783026</v>
      </c>
      <c r="Y131" s="31">
        <v>10441.255315812841</v>
      </c>
      <c r="Z131" s="31">
        <v>31914.831477619438</v>
      </c>
      <c r="AA131" s="33">
        <v>267020.04669523396</v>
      </c>
      <c r="AB131" s="32"/>
      <c r="AC131" s="31"/>
      <c r="AD131" s="44"/>
      <c r="AE131" s="39"/>
      <c r="AG131" s="19"/>
      <c r="AH131" s="19"/>
      <c r="AI131" s="19"/>
      <c r="AJ131" s="19"/>
      <c r="AK131" s="19"/>
      <c r="AL131" s="19"/>
      <c r="AM131" s="19"/>
      <c r="AN131" s="19"/>
      <c r="AP131" s="19"/>
      <c r="AQ131" s="21"/>
      <c r="AR131" s="21"/>
      <c r="AS131" s="21"/>
      <c r="AT131" s="19"/>
      <c r="AU131" s="21"/>
      <c r="AV131" s="19"/>
      <c r="AW131" s="19"/>
      <c r="AZ131" s="19"/>
      <c r="BA131" s="19"/>
      <c r="BB131" s="19"/>
      <c r="BC131" s="19"/>
      <c r="BD131" s="19"/>
      <c r="BE131" s="19"/>
      <c r="BF131" s="19"/>
      <c r="BG131" s="19"/>
      <c r="BH131" s="19"/>
      <c r="BJ131" s="19"/>
      <c r="BK131" s="19"/>
      <c r="BL131" s="21"/>
      <c r="BM131" s="19"/>
      <c r="BN131" s="19"/>
      <c r="BO131" s="19"/>
      <c r="BP131" s="21"/>
      <c r="BQ131" s="19"/>
      <c r="BR131" s="19"/>
      <c r="BS131" s="19"/>
      <c r="BT131" s="20"/>
      <c r="BU131" s="19"/>
      <c r="BV131" s="19"/>
    </row>
    <row r="132" spans="1:74" ht="15" customHeight="1">
      <c r="A132" s="55"/>
      <c r="B132" s="57"/>
      <c r="C132" s="57"/>
      <c r="D132" s="57"/>
      <c r="E132" s="57"/>
      <c r="F132" s="57"/>
      <c r="G132" s="57"/>
      <c r="H132" s="59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9"/>
      <c r="T132" s="28"/>
      <c r="U132" s="60"/>
      <c r="V132" s="59"/>
      <c r="W132" s="58"/>
      <c r="X132" s="58"/>
      <c r="Y132" s="58"/>
      <c r="Z132" s="57"/>
      <c r="AA132" s="56"/>
      <c r="AB132" s="32"/>
      <c r="AC132" s="48"/>
      <c r="AD132" s="44"/>
      <c r="AE132" s="39"/>
      <c r="AG132" s="19"/>
      <c r="AH132" s="19"/>
      <c r="AI132" s="19"/>
      <c r="AJ132" s="19"/>
      <c r="AK132" s="19"/>
      <c r="AL132" s="19"/>
      <c r="AM132" s="19"/>
      <c r="AN132" s="19"/>
      <c r="AP132" s="19"/>
      <c r="AQ132" s="21"/>
      <c r="AR132" s="21"/>
      <c r="AS132" s="21"/>
      <c r="AT132" s="19"/>
      <c r="AU132" s="21"/>
      <c r="AV132" s="19"/>
      <c r="AW132" s="19"/>
      <c r="AZ132" s="19"/>
      <c r="BA132" s="19"/>
      <c r="BB132" s="19"/>
      <c r="BC132" s="19"/>
      <c r="BD132" s="19"/>
      <c r="BE132" s="19"/>
      <c r="BF132" s="19"/>
      <c r="BG132" s="19"/>
      <c r="BH132" s="19"/>
      <c r="BJ132" s="19"/>
      <c r="BK132" s="19"/>
      <c r="BL132" s="21"/>
      <c r="BM132" s="19"/>
      <c r="BN132" s="19"/>
      <c r="BO132" s="19"/>
      <c r="BP132" s="21"/>
      <c r="BQ132" s="19"/>
      <c r="BR132" s="19"/>
      <c r="BS132" s="19"/>
      <c r="BT132" s="20"/>
      <c r="BU132" s="19"/>
      <c r="BV132" s="19"/>
    </row>
    <row r="133" spans="1:74" ht="15" customHeight="1">
      <c r="A133" s="17"/>
      <c r="B133" s="65"/>
      <c r="C133" s="65"/>
      <c r="D133" s="65"/>
      <c r="E133" s="65"/>
      <c r="F133" s="65"/>
      <c r="G133" s="65"/>
      <c r="H133" s="63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3"/>
      <c r="U133" s="67"/>
      <c r="V133" s="63"/>
      <c r="W133" s="66"/>
      <c r="X133" s="66"/>
      <c r="Y133" s="66"/>
      <c r="Z133" s="65"/>
      <c r="AA133" s="64"/>
      <c r="AB133" s="32"/>
      <c r="AC133" s="48"/>
      <c r="AD133" s="44"/>
      <c r="AE133" s="39"/>
      <c r="AG133" s="19"/>
      <c r="AH133" s="19"/>
      <c r="AI133" s="19"/>
      <c r="AJ133" s="19"/>
      <c r="AK133" s="19"/>
      <c r="AL133" s="19"/>
      <c r="AM133" s="19"/>
      <c r="AN133" s="19"/>
      <c r="AP133" s="19"/>
      <c r="AQ133" s="21"/>
      <c r="AR133" s="21"/>
      <c r="AS133" s="21"/>
      <c r="AT133" s="19"/>
      <c r="AU133" s="21"/>
      <c r="AV133" s="19"/>
      <c r="AW133" s="19"/>
      <c r="AZ133" s="19"/>
      <c r="BA133" s="19"/>
      <c r="BB133" s="19"/>
      <c r="BC133" s="19"/>
      <c r="BD133" s="19"/>
      <c r="BE133" s="19"/>
      <c r="BF133" s="19"/>
      <c r="BG133" s="19"/>
      <c r="BH133" s="19"/>
      <c r="BJ133" s="19"/>
      <c r="BK133" s="19"/>
      <c r="BL133" s="21"/>
      <c r="BM133" s="19"/>
      <c r="BN133" s="19"/>
      <c r="BO133" s="19"/>
      <c r="BP133" s="21"/>
      <c r="BQ133" s="19"/>
      <c r="BR133" s="19"/>
      <c r="BS133" s="19"/>
      <c r="BT133" s="20"/>
      <c r="BU133" s="19"/>
      <c r="BV133" s="19"/>
    </row>
    <row r="134" spans="1:74" ht="15" customHeight="1">
      <c r="A134" s="17">
        <v>1997</v>
      </c>
      <c r="B134" s="34">
        <v>13629.950652035244</v>
      </c>
      <c r="C134" s="34">
        <v>4842.965427829713</v>
      </c>
      <c r="D134" s="34">
        <v>42949.601016404151</v>
      </c>
      <c r="E134" s="34">
        <v>5802.7624411244478</v>
      </c>
      <c r="F134" s="34">
        <v>15565.49942351738</v>
      </c>
      <c r="G134" s="19"/>
      <c r="H134" s="34">
        <v>82790.778960910931</v>
      </c>
      <c r="I134" s="38"/>
      <c r="J134" s="34">
        <v>36811.580128840833</v>
      </c>
      <c r="K134" s="34">
        <v>6969.6623971885765</v>
      </c>
      <c r="L134" s="34">
        <v>20817.086270221644</v>
      </c>
      <c r="M134" s="34">
        <v>13484.260083838506</v>
      </c>
      <c r="N134" s="34">
        <v>38894.404869563114</v>
      </c>
      <c r="O134" s="34">
        <v>14008.374875993071</v>
      </c>
      <c r="P134" s="34">
        <v>20398.983279671462</v>
      </c>
      <c r="Q134" s="34">
        <v>14658.019690981302</v>
      </c>
      <c r="R134" s="38"/>
      <c r="S134" s="34">
        <v>166042.37159629853</v>
      </c>
      <c r="T134" s="12"/>
      <c r="U134" s="42">
        <v>6300.2398335340513</v>
      </c>
      <c r="V134" s="34">
        <v>242532.91072367539</v>
      </c>
      <c r="W134" s="34">
        <v>19283.638622721512</v>
      </c>
      <c r="X134" s="34">
        <v>4162.5031827913663</v>
      </c>
      <c r="Y134" s="34">
        <v>11462.265093191992</v>
      </c>
      <c r="Z134" s="34">
        <v>34908.406898704867</v>
      </c>
      <c r="AA134" s="33">
        <v>277441.31762238027</v>
      </c>
      <c r="AB134" s="32"/>
      <c r="AC134" s="48"/>
      <c r="AD134" s="44"/>
      <c r="AE134" s="39"/>
      <c r="AG134" s="19"/>
      <c r="AH134" s="19"/>
      <c r="AI134" s="19"/>
      <c r="AJ134" s="19"/>
      <c r="AK134" s="19"/>
      <c r="AL134" s="19"/>
      <c r="AM134" s="19"/>
      <c r="AN134" s="19"/>
      <c r="AP134" s="19"/>
      <c r="AQ134" s="21"/>
      <c r="AR134" s="21"/>
      <c r="AS134" s="21"/>
      <c r="AT134" s="19"/>
      <c r="AU134" s="21"/>
      <c r="AV134" s="19"/>
      <c r="AW134" s="19"/>
      <c r="AZ134" s="19"/>
      <c r="BA134" s="19"/>
      <c r="BB134" s="19"/>
      <c r="BC134" s="19"/>
      <c r="BD134" s="19"/>
      <c r="BE134" s="19"/>
      <c r="BF134" s="19"/>
      <c r="BG134" s="19"/>
      <c r="BH134" s="19"/>
      <c r="BJ134" s="19"/>
      <c r="BK134" s="19"/>
      <c r="BL134" s="21"/>
      <c r="BM134" s="19"/>
      <c r="BN134" s="19"/>
      <c r="BO134" s="19"/>
      <c r="BP134" s="21"/>
      <c r="BQ134" s="19"/>
      <c r="BR134" s="19"/>
      <c r="BS134" s="19"/>
      <c r="BT134" s="20"/>
      <c r="BU134" s="19"/>
      <c r="BV134" s="19"/>
    </row>
    <row r="135" spans="1:74" ht="15" customHeight="1">
      <c r="A135" s="17" t="s">
        <v>26</v>
      </c>
      <c r="B135" s="38">
        <v>13273.332353384074</v>
      </c>
      <c r="C135" s="38">
        <v>4852.9943155017872</v>
      </c>
      <c r="D135" s="38">
        <v>38046.889208298613</v>
      </c>
      <c r="E135" s="38">
        <v>5334.5356480273895</v>
      </c>
      <c r="F135" s="38">
        <v>14151.66584494981</v>
      </c>
      <c r="G135" s="37"/>
      <c r="H135" s="34">
        <v>75659.417370161667</v>
      </c>
      <c r="I135" s="37"/>
      <c r="J135" s="38">
        <v>33604.410758271712</v>
      </c>
      <c r="K135" s="38">
        <v>7019.0017049210401</v>
      </c>
      <c r="L135" s="38">
        <v>19212.725240712691</v>
      </c>
      <c r="M135" s="38">
        <v>12677.952587709515</v>
      </c>
      <c r="N135" s="38">
        <v>37207.086514470684</v>
      </c>
      <c r="O135" s="38">
        <v>14010.430607880524</v>
      </c>
      <c r="P135" s="38">
        <v>16683.891315253022</v>
      </c>
      <c r="Q135" s="38">
        <v>13356.6587794027</v>
      </c>
      <c r="R135" s="37"/>
      <c r="S135" s="34">
        <v>153772.15750862189</v>
      </c>
      <c r="T135" s="36"/>
      <c r="U135" s="35">
        <v>5659.8830967461581</v>
      </c>
      <c r="V135" s="34">
        <v>223771.69178203738</v>
      </c>
      <c r="W135" s="31">
        <v>18567.477872590855</v>
      </c>
      <c r="X135" s="31">
        <v>3385.3180029750993</v>
      </c>
      <c r="Y135" s="31">
        <v>10663.369037014316</v>
      </c>
      <c r="Z135" s="31">
        <v>32616.164912580269</v>
      </c>
      <c r="AA135" s="33">
        <v>256387.85669461766</v>
      </c>
      <c r="AB135" s="32"/>
      <c r="AC135" s="31"/>
      <c r="AD135" s="44"/>
      <c r="AE135" s="39"/>
      <c r="AG135" s="19"/>
      <c r="AH135" s="19"/>
      <c r="AI135" s="19"/>
      <c r="AJ135" s="19"/>
      <c r="AK135" s="19"/>
      <c r="AL135" s="19"/>
      <c r="AM135" s="19"/>
      <c r="AN135" s="19"/>
      <c r="AP135" s="19"/>
      <c r="AQ135" s="21"/>
      <c r="AR135" s="21"/>
      <c r="AS135" s="21"/>
      <c r="AT135" s="19"/>
      <c r="AU135" s="21"/>
      <c r="AV135" s="19"/>
      <c r="AW135" s="19"/>
      <c r="AZ135" s="19"/>
      <c r="BA135" s="19"/>
      <c r="BB135" s="19"/>
      <c r="BC135" s="19"/>
      <c r="BD135" s="19"/>
      <c r="BE135" s="19"/>
      <c r="BF135" s="19"/>
      <c r="BG135" s="19"/>
      <c r="BH135" s="19"/>
      <c r="BJ135" s="19"/>
      <c r="BK135" s="19"/>
      <c r="BL135" s="21"/>
      <c r="BM135" s="19"/>
      <c r="BN135" s="19"/>
      <c r="BO135" s="19"/>
      <c r="BP135" s="21"/>
      <c r="BQ135" s="19"/>
      <c r="BR135" s="19"/>
      <c r="BS135" s="19"/>
      <c r="BT135" s="20"/>
      <c r="BU135" s="19"/>
      <c r="BV135" s="19"/>
    </row>
    <row r="136" spans="1:74" ht="15" customHeight="1">
      <c r="A136" s="17" t="s">
        <v>25</v>
      </c>
      <c r="B136" s="38">
        <v>15841.447952788372</v>
      </c>
      <c r="C136" s="38">
        <v>4933.0517193195692</v>
      </c>
      <c r="D136" s="38">
        <v>43395.645823058105</v>
      </c>
      <c r="E136" s="38">
        <v>5859.5869873558813</v>
      </c>
      <c r="F136" s="38">
        <v>15263.953621990586</v>
      </c>
      <c r="G136" s="37"/>
      <c r="H136" s="34">
        <v>85293.686104512512</v>
      </c>
      <c r="I136" s="37"/>
      <c r="J136" s="38">
        <v>38225.042266980287</v>
      </c>
      <c r="K136" s="38">
        <v>6503.017310270232</v>
      </c>
      <c r="L136" s="38">
        <v>20568.902550543287</v>
      </c>
      <c r="M136" s="38">
        <v>13267.895068310778</v>
      </c>
      <c r="N136" s="38">
        <v>38775.624193160969</v>
      </c>
      <c r="O136" s="38">
        <v>14020.846247031986</v>
      </c>
      <c r="P136" s="38">
        <v>21679.576960770035</v>
      </c>
      <c r="Q136" s="38">
        <v>15030.803527100832</v>
      </c>
      <c r="R136" s="37"/>
      <c r="S136" s="34">
        <v>168071.70812416839</v>
      </c>
      <c r="T136" s="36"/>
      <c r="U136" s="35">
        <v>6141.2133871876977</v>
      </c>
      <c r="V136" s="34">
        <v>247224.18084149322</v>
      </c>
      <c r="W136" s="31">
        <v>18938.048041672999</v>
      </c>
      <c r="X136" s="31">
        <v>4077.7614331363598</v>
      </c>
      <c r="Y136" s="31">
        <v>11529.81043993891</v>
      </c>
      <c r="Z136" s="31">
        <v>34545.619914748269</v>
      </c>
      <c r="AA136" s="33">
        <v>281769.80075624149</v>
      </c>
      <c r="AB136" s="32"/>
      <c r="AC136" s="31"/>
      <c r="AD136" s="44"/>
      <c r="AE136" s="39"/>
      <c r="AG136" s="19"/>
      <c r="AH136" s="19"/>
      <c r="AI136" s="19"/>
      <c r="AJ136" s="19"/>
      <c r="AK136" s="19"/>
      <c r="AL136" s="19"/>
      <c r="AM136" s="19"/>
      <c r="AN136" s="19"/>
      <c r="AP136" s="19"/>
      <c r="AQ136" s="21"/>
      <c r="AR136" s="21"/>
      <c r="AS136" s="21"/>
      <c r="AT136" s="19"/>
      <c r="AU136" s="21"/>
      <c r="AV136" s="19"/>
      <c r="AW136" s="19"/>
      <c r="AZ136" s="19"/>
      <c r="BA136" s="19"/>
      <c r="BB136" s="19"/>
      <c r="BC136" s="19"/>
      <c r="BD136" s="19"/>
      <c r="BE136" s="19"/>
      <c r="BF136" s="19"/>
      <c r="BG136" s="19"/>
      <c r="BH136" s="19"/>
      <c r="BJ136" s="19"/>
      <c r="BK136" s="19"/>
      <c r="BL136" s="21"/>
      <c r="BM136" s="19"/>
      <c r="BN136" s="19"/>
      <c r="BO136" s="19"/>
      <c r="BP136" s="21"/>
      <c r="BQ136" s="19"/>
      <c r="BR136" s="19"/>
      <c r="BS136" s="19"/>
      <c r="BT136" s="20"/>
      <c r="BU136" s="19"/>
      <c r="BV136" s="19"/>
    </row>
    <row r="137" spans="1:74" ht="15" customHeight="1">
      <c r="A137" s="17" t="s">
        <v>24</v>
      </c>
      <c r="B137" s="38">
        <v>12334.42515255706</v>
      </c>
      <c r="C137" s="38">
        <v>4829.9779448051531</v>
      </c>
      <c r="D137" s="38">
        <v>44489.822024212175</v>
      </c>
      <c r="E137" s="38">
        <v>6234.5659431974937</v>
      </c>
      <c r="F137" s="38">
        <v>16120.984253490951</v>
      </c>
      <c r="G137" s="37"/>
      <c r="H137" s="34">
        <v>84009.775318262837</v>
      </c>
      <c r="I137" s="37"/>
      <c r="J137" s="38">
        <v>37543.699741903518</v>
      </c>
      <c r="K137" s="38">
        <v>6929.3874143492194</v>
      </c>
      <c r="L137" s="38">
        <v>21280.40806770965</v>
      </c>
      <c r="M137" s="38">
        <v>13751.508168038954</v>
      </c>
      <c r="N137" s="38">
        <v>39427.247129565119</v>
      </c>
      <c r="O137" s="38">
        <v>14016.949947535539</v>
      </c>
      <c r="P137" s="38">
        <v>21674.097305553987</v>
      </c>
      <c r="Q137" s="38">
        <v>15071.804775781908</v>
      </c>
      <c r="R137" s="37"/>
      <c r="S137" s="34">
        <v>169695.10255043788</v>
      </c>
      <c r="T137" s="36"/>
      <c r="U137" s="35">
        <v>6485.683694599712</v>
      </c>
      <c r="V137" s="34">
        <v>247219.19417410099</v>
      </c>
      <c r="W137" s="31">
        <v>20181.963487012385</v>
      </c>
      <c r="X137" s="31">
        <v>4577.8138861451316</v>
      </c>
      <c r="Y137" s="31">
        <v>12113.295930527978</v>
      </c>
      <c r="Z137" s="31">
        <v>36873.073303685494</v>
      </c>
      <c r="AA137" s="33">
        <v>284092.26747778652</v>
      </c>
      <c r="AB137" s="32"/>
      <c r="AC137" s="31"/>
      <c r="AD137" s="44"/>
      <c r="AE137" s="39"/>
      <c r="AG137" s="19"/>
      <c r="AH137" s="19"/>
      <c r="AI137" s="19"/>
      <c r="AJ137" s="19"/>
      <c r="AK137" s="19"/>
      <c r="AL137" s="19"/>
      <c r="AM137" s="19"/>
      <c r="AN137" s="19"/>
      <c r="AP137" s="19"/>
      <c r="AQ137" s="21"/>
      <c r="AR137" s="21"/>
      <c r="AS137" s="21"/>
      <c r="AT137" s="19"/>
      <c r="AU137" s="21"/>
      <c r="AV137" s="19"/>
      <c r="AW137" s="19"/>
      <c r="AZ137" s="19"/>
      <c r="BA137" s="19"/>
      <c r="BB137" s="19"/>
      <c r="BC137" s="19"/>
      <c r="BD137" s="19"/>
      <c r="BE137" s="19"/>
      <c r="BF137" s="19"/>
      <c r="BG137" s="19"/>
      <c r="BH137" s="19"/>
      <c r="BJ137" s="19"/>
      <c r="BK137" s="19"/>
      <c r="BL137" s="21"/>
      <c r="BM137" s="19"/>
      <c r="BN137" s="19"/>
      <c r="BO137" s="19"/>
      <c r="BP137" s="21"/>
      <c r="BQ137" s="19"/>
      <c r="BR137" s="19"/>
      <c r="BS137" s="19"/>
      <c r="BT137" s="20"/>
      <c r="BU137" s="19"/>
      <c r="BV137" s="19"/>
    </row>
    <row r="138" spans="1:74" ht="15" customHeight="1">
      <c r="A138" s="17" t="s">
        <v>23</v>
      </c>
      <c r="B138" s="38">
        <v>13070.597149411467</v>
      </c>
      <c r="C138" s="38">
        <v>4755.8377316923434</v>
      </c>
      <c r="D138" s="38">
        <v>45866.047010047718</v>
      </c>
      <c r="E138" s="38">
        <v>5782.3611859170278</v>
      </c>
      <c r="F138" s="38">
        <v>16725.393973638169</v>
      </c>
      <c r="G138" s="37"/>
      <c r="H138" s="34">
        <v>86200.237050706739</v>
      </c>
      <c r="I138" s="37"/>
      <c r="J138" s="38">
        <v>37873.167748207801</v>
      </c>
      <c r="K138" s="38">
        <v>7427.2431592138146</v>
      </c>
      <c r="L138" s="38">
        <v>22206.309221920947</v>
      </c>
      <c r="M138" s="38">
        <v>14239.684511294776</v>
      </c>
      <c r="N138" s="38">
        <v>40167.661641055674</v>
      </c>
      <c r="O138" s="38">
        <v>13985.272701524236</v>
      </c>
      <c r="P138" s="38">
        <v>21558.367537108803</v>
      </c>
      <c r="Q138" s="38">
        <v>15172.811681639765</v>
      </c>
      <c r="R138" s="37"/>
      <c r="S138" s="34">
        <v>172630.51820196581</v>
      </c>
      <c r="T138" s="36"/>
      <c r="U138" s="35">
        <v>6914.1791556026365</v>
      </c>
      <c r="V138" s="34">
        <v>251916.57609706989</v>
      </c>
      <c r="W138" s="31">
        <v>19447.065089609805</v>
      </c>
      <c r="X138" s="31">
        <v>4609.119408908874</v>
      </c>
      <c r="Y138" s="31">
        <v>11542.584965286766</v>
      </c>
      <c r="Z138" s="31">
        <v>35598.769463805445</v>
      </c>
      <c r="AA138" s="33">
        <v>287515.34556087531</v>
      </c>
      <c r="AB138" s="32"/>
      <c r="AC138" s="31"/>
      <c r="AD138" s="44"/>
      <c r="AE138" s="39"/>
      <c r="AG138" s="19"/>
      <c r="AH138" s="19"/>
      <c r="AI138" s="19"/>
      <c r="AJ138" s="19"/>
      <c r="AK138" s="19"/>
      <c r="AL138" s="19"/>
      <c r="AM138" s="19"/>
      <c r="AN138" s="19"/>
      <c r="AP138" s="19"/>
      <c r="AQ138" s="21"/>
      <c r="AR138" s="21"/>
      <c r="AS138" s="21"/>
      <c r="AT138" s="19"/>
      <c r="AU138" s="21"/>
      <c r="AV138" s="19"/>
      <c r="AW138" s="19"/>
      <c r="AZ138" s="19"/>
      <c r="BA138" s="19"/>
      <c r="BB138" s="19"/>
      <c r="BC138" s="19"/>
      <c r="BD138" s="19"/>
      <c r="BE138" s="19"/>
      <c r="BF138" s="19"/>
      <c r="BG138" s="19"/>
      <c r="BH138" s="19"/>
      <c r="BJ138" s="19"/>
      <c r="BK138" s="19"/>
      <c r="BL138" s="21"/>
      <c r="BM138" s="19"/>
      <c r="BN138" s="19"/>
      <c r="BO138" s="19"/>
      <c r="BP138" s="21"/>
      <c r="BQ138" s="19"/>
      <c r="BR138" s="19"/>
      <c r="BS138" s="19"/>
      <c r="BT138" s="20"/>
      <c r="BU138" s="19"/>
      <c r="BV138" s="19"/>
    </row>
    <row r="139" spans="1:74" ht="15" customHeight="1">
      <c r="A139" s="55"/>
      <c r="B139" s="57"/>
      <c r="C139" s="57"/>
      <c r="D139" s="57"/>
      <c r="E139" s="57"/>
      <c r="F139" s="57"/>
      <c r="G139" s="57"/>
      <c r="H139" s="59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9"/>
      <c r="T139" s="28"/>
      <c r="U139" s="60"/>
      <c r="V139" s="59"/>
      <c r="W139" s="58"/>
      <c r="X139" s="58"/>
      <c r="Y139" s="58"/>
      <c r="Z139" s="57"/>
      <c r="AA139" s="56"/>
      <c r="AB139" s="32"/>
      <c r="AC139" s="48"/>
      <c r="AD139" s="44"/>
      <c r="AE139" s="39"/>
      <c r="AG139" s="19"/>
      <c r="AH139" s="19"/>
      <c r="AI139" s="19"/>
      <c r="AJ139" s="19"/>
      <c r="AK139" s="19"/>
      <c r="AL139" s="19"/>
      <c r="AM139" s="19"/>
      <c r="AN139" s="19"/>
      <c r="AP139" s="19"/>
      <c r="AQ139" s="21"/>
      <c r="AR139" s="21"/>
      <c r="AS139" s="21"/>
      <c r="AT139" s="19"/>
      <c r="AU139" s="21"/>
      <c r="AV139" s="19"/>
      <c r="AW139" s="19"/>
      <c r="AZ139" s="19"/>
      <c r="BA139" s="19"/>
      <c r="BB139" s="19"/>
      <c r="BC139" s="19"/>
      <c r="BD139" s="19"/>
      <c r="BE139" s="19"/>
      <c r="BF139" s="19"/>
      <c r="BG139" s="19"/>
      <c r="BH139" s="19"/>
      <c r="BJ139" s="19"/>
      <c r="BK139" s="19"/>
      <c r="BL139" s="21"/>
      <c r="BM139" s="19"/>
      <c r="BN139" s="19"/>
      <c r="BO139" s="19"/>
      <c r="BP139" s="21"/>
      <c r="BQ139" s="19"/>
      <c r="BR139" s="19"/>
      <c r="BS139" s="19"/>
      <c r="BT139" s="20"/>
      <c r="BU139" s="19"/>
      <c r="BV139" s="19"/>
    </row>
    <row r="140" spans="1:74" ht="15" customHeight="1">
      <c r="A140" s="17"/>
      <c r="B140" s="65"/>
      <c r="C140" s="65"/>
      <c r="D140" s="65"/>
      <c r="E140" s="65"/>
      <c r="F140" s="65"/>
      <c r="G140" s="65"/>
      <c r="H140" s="63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3"/>
      <c r="U140" s="67"/>
      <c r="V140" s="63"/>
      <c r="W140" s="66"/>
      <c r="X140" s="66"/>
      <c r="Y140" s="66"/>
      <c r="Z140" s="65"/>
      <c r="AA140" s="64"/>
      <c r="AB140" s="32"/>
      <c r="AC140" s="48"/>
      <c r="AD140" s="44"/>
      <c r="AE140" s="39"/>
      <c r="AG140" s="19"/>
      <c r="AH140" s="19"/>
      <c r="AI140" s="19"/>
      <c r="AJ140" s="19"/>
      <c r="AK140" s="19"/>
      <c r="AL140" s="19"/>
      <c r="AM140" s="19"/>
      <c r="AN140" s="19"/>
      <c r="AP140" s="19"/>
      <c r="AQ140" s="21"/>
      <c r="AR140" s="21"/>
      <c r="AS140" s="21"/>
      <c r="AT140" s="19"/>
      <c r="AU140" s="21"/>
      <c r="AV140" s="19"/>
      <c r="AW140" s="19"/>
      <c r="AZ140" s="19"/>
      <c r="BA140" s="19"/>
      <c r="BB140" s="19"/>
      <c r="BC140" s="19"/>
      <c r="BD140" s="19"/>
      <c r="BE140" s="19"/>
      <c r="BF140" s="19"/>
      <c r="BG140" s="19"/>
      <c r="BH140" s="19"/>
      <c r="BJ140" s="19"/>
      <c r="BK140" s="19"/>
      <c r="BL140" s="21"/>
      <c r="BM140" s="19"/>
      <c r="BN140" s="19"/>
      <c r="BO140" s="19"/>
      <c r="BP140" s="21"/>
      <c r="BQ140" s="19"/>
      <c r="BR140" s="19"/>
      <c r="BS140" s="19"/>
      <c r="BT140" s="20"/>
      <c r="BU140" s="19"/>
      <c r="BV140" s="19"/>
    </row>
    <row r="141" spans="1:74" ht="15" customHeight="1">
      <c r="A141" s="17">
        <v>1998</v>
      </c>
      <c r="B141" s="34">
        <v>14820.435147868071</v>
      </c>
      <c r="C141" s="34">
        <v>4657.3105807943284</v>
      </c>
      <c r="D141" s="34">
        <v>43732.733119256714</v>
      </c>
      <c r="E141" s="34">
        <v>6245.1823410920424</v>
      </c>
      <c r="F141" s="34">
        <v>16918.782110975888</v>
      </c>
      <c r="G141" s="40"/>
      <c r="H141" s="34">
        <v>86374.443299987033</v>
      </c>
      <c r="I141" s="38"/>
      <c r="J141" s="34">
        <v>37869.062498209489</v>
      </c>
      <c r="K141" s="34">
        <v>7413.170492353489</v>
      </c>
      <c r="L141" s="34">
        <v>22660.369673372006</v>
      </c>
      <c r="M141" s="34">
        <v>15972.622061185428</v>
      </c>
      <c r="N141" s="34">
        <v>40014.940086595285</v>
      </c>
      <c r="O141" s="34">
        <v>13915.249009176005</v>
      </c>
      <c r="P141" s="34">
        <v>20704.310935689391</v>
      </c>
      <c r="Q141" s="34">
        <v>15175.393340198969</v>
      </c>
      <c r="R141" s="34"/>
      <c r="S141" s="34">
        <v>173725.11809678006</v>
      </c>
      <c r="T141" s="12"/>
      <c r="U141" s="42">
        <v>8347.8646966927063</v>
      </c>
      <c r="V141" s="34">
        <v>251751.69670007439</v>
      </c>
      <c r="W141" s="34">
        <v>19926.441468693614</v>
      </c>
      <c r="X141" s="34">
        <v>4494.5130472733454</v>
      </c>
      <c r="Y141" s="34">
        <v>11950.653391682559</v>
      </c>
      <c r="Z141" s="34">
        <v>36371.607907649515</v>
      </c>
      <c r="AA141" s="33">
        <v>288123.3046077239</v>
      </c>
      <c r="AB141" s="32"/>
      <c r="AC141" s="48"/>
      <c r="AD141" s="44"/>
      <c r="AE141" s="39"/>
      <c r="AG141" s="19"/>
      <c r="AH141" s="19"/>
      <c r="AI141" s="19"/>
      <c r="AJ141" s="19"/>
      <c r="AK141" s="19"/>
      <c r="AL141" s="19"/>
      <c r="AM141" s="19"/>
      <c r="AN141" s="19"/>
      <c r="AP141" s="19"/>
      <c r="AQ141" s="21"/>
      <c r="AR141" s="21"/>
      <c r="AS141" s="21"/>
      <c r="AT141" s="19"/>
      <c r="AU141" s="21"/>
      <c r="AV141" s="19"/>
      <c r="AW141" s="19"/>
      <c r="AZ141" s="19"/>
      <c r="BA141" s="19"/>
      <c r="BB141" s="19"/>
      <c r="BC141" s="19"/>
      <c r="BD141" s="19"/>
      <c r="BE141" s="19"/>
      <c r="BF141" s="19"/>
      <c r="BG141" s="19"/>
      <c r="BH141" s="19"/>
      <c r="BJ141" s="19"/>
      <c r="BK141" s="19"/>
      <c r="BL141" s="21"/>
      <c r="BM141" s="19"/>
      <c r="BN141" s="19"/>
      <c r="BO141" s="19"/>
      <c r="BP141" s="21"/>
      <c r="BQ141" s="19"/>
      <c r="BR141" s="19"/>
      <c r="BS141" s="19"/>
      <c r="BT141" s="20"/>
      <c r="BU141" s="19"/>
      <c r="BV141" s="19"/>
    </row>
    <row r="142" spans="1:74" ht="15" customHeight="1">
      <c r="A142" s="17" t="s">
        <v>26</v>
      </c>
      <c r="B142" s="38">
        <v>13376.039457333354</v>
      </c>
      <c r="C142" s="38">
        <v>4606.6641563297826</v>
      </c>
      <c r="D142" s="38">
        <v>40599.096105490273</v>
      </c>
      <c r="E142" s="38">
        <v>5812.6290352068536</v>
      </c>
      <c r="F142" s="38">
        <v>16055.039273529957</v>
      </c>
      <c r="G142" s="37"/>
      <c r="H142" s="34">
        <v>80449.468027890223</v>
      </c>
      <c r="I142" s="37"/>
      <c r="J142" s="38">
        <v>35739.867435509404</v>
      </c>
      <c r="K142" s="38">
        <v>7582.7977349144721</v>
      </c>
      <c r="L142" s="38">
        <v>21487.04173291038</v>
      </c>
      <c r="M142" s="38">
        <v>14845.510775758452</v>
      </c>
      <c r="N142" s="38">
        <v>38803.961564594894</v>
      </c>
      <c r="O142" s="38">
        <v>13914.284440539779</v>
      </c>
      <c r="P142" s="38">
        <v>16742.707675591089</v>
      </c>
      <c r="Q142" s="38">
        <v>13964.745789275163</v>
      </c>
      <c r="R142" s="37"/>
      <c r="S142" s="34">
        <v>163080.91714909361</v>
      </c>
      <c r="T142" s="36"/>
      <c r="U142" s="35">
        <v>7290.7362876044426</v>
      </c>
      <c r="V142" s="34">
        <v>236239.6488893794</v>
      </c>
      <c r="W142" s="31">
        <v>19850.519666962537</v>
      </c>
      <c r="X142" s="31">
        <v>4140.0410515894837</v>
      </c>
      <c r="Y142" s="31">
        <v>11472.158073901919</v>
      </c>
      <c r="Z142" s="31">
        <v>35462.718792453939</v>
      </c>
      <c r="AA142" s="33">
        <v>271702.36768183333</v>
      </c>
      <c r="AB142" s="32"/>
      <c r="AC142" s="31"/>
      <c r="AD142" s="44"/>
      <c r="AE142" s="39"/>
      <c r="AG142" s="19"/>
      <c r="AH142" s="19"/>
      <c r="AI142" s="19"/>
      <c r="AJ142" s="19"/>
      <c r="AK142" s="19"/>
      <c r="AL142" s="19"/>
      <c r="AM142" s="19"/>
      <c r="AN142" s="19"/>
      <c r="AP142" s="19"/>
      <c r="AQ142" s="21"/>
      <c r="AR142" s="21"/>
      <c r="AS142" s="21"/>
      <c r="AT142" s="19"/>
      <c r="AU142" s="21"/>
      <c r="AV142" s="19"/>
      <c r="AW142" s="19"/>
      <c r="AZ142" s="19"/>
      <c r="BA142" s="19"/>
      <c r="BB142" s="19"/>
      <c r="BC142" s="19"/>
      <c r="BD142" s="19"/>
      <c r="BE142" s="19"/>
      <c r="BF142" s="19"/>
      <c r="BG142" s="19"/>
      <c r="BH142" s="19"/>
      <c r="BJ142" s="19"/>
      <c r="BK142" s="19"/>
      <c r="BL142" s="21"/>
      <c r="BM142" s="19"/>
      <c r="BN142" s="19"/>
      <c r="BO142" s="19"/>
      <c r="BP142" s="21"/>
      <c r="BQ142" s="19"/>
      <c r="BR142" s="19"/>
      <c r="BS142" s="19"/>
      <c r="BT142" s="20"/>
      <c r="BU142" s="19"/>
      <c r="BV142" s="19"/>
    </row>
    <row r="143" spans="1:74" ht="15" customHeight="1">
      <c r="A143" s="17" t="s">
        <v>25</v>
      </c>
      <c r="B143" s="38">
        <v>20559.017521394861</v>
      </c>
      <c r="C143" s="38">
        <v>4822.889211677094</v>
      </c>
      <c r="D143" s="38">
        <v>45232.902260486961</v>
      </c>
      <c r="E143" s="38">
        <v>6338.1204727980275</v>
      </c>
      <c r="F143" s="38">
        <v>16770.791871138914</v>
      </c>
      <c r="G143" s="37"/>
      <c r="H143" s="34">
        <v>93723.721337495866</v>
      </c>
      <c r="I143" s="37"/>
      <c r="J143" s="38">
        <v>41018.847952057637</v>
      </c>
      <c r="K143" s="38">
        <v>7200.8899639544006</v>
      </c>
      <c r="L143" s="38">
        <v>22969.355831925652</v>
      </c>
      <c r="M143" s="38">
        <v>16352.153663860323</v>
      </c>
      <c r="N143" s="38">
        <v>40199.209648659657</v>
      </c>
      <c r="O143" s="38">
        <v>13924.349376825945</v>
      </c>
      <c r="P143" s="38">
        <v>21894.445911869901</v>
      </c>
      <c r="Q143" s="38">
        <v>15567.232250970863</v>
      </c>
      <c r="R143" s="37"/>
      <c r="S143" s="34">
        <v>179126.48460012439</v>
      </c>
      <c r="T143" s="36"/>
      <c r="U143" s="35">
        <v>8529.5843076935726</v>
      </c>
      <c r="V143" s="34">
        <v>264320.62162992667</v>
      </c>
      <c r="W143" s="31">
        <v>19898.381980739872</v>
      </c>
      <c r="X143" s="31">
        <v>4640.7421901701655</v>
      </c>
      <c r="Y143" s="31">
        <v>12347.852022518708</v>
      </c>
      <c r="Z143" s="31">
        <v>36886.976193428745</v>
      </c>
      <c r="AA143" s="33">
        <v>301207.59782335541</v>
      </c>
      <c r="AB143" s="32"/>
      <c r="AC143" s="31"/>
      <c r="AD143" s="44"/>
      <c r="AE143" s="39"/>
      <c r="AG143" s="19"/>
      <c r="AH143" s="19"/>
      <c r="AI143" s="19"/>
      <c r="AJ143" s="19"/>
      <c r="AK143" s="19"/>
      <c r="AL143" s="19"/>
      <c r="AM143" s="19"/>
      <c r="AN143" s="19"/>
      <c r="AP143" s="19"/>
      <c r="AQ143" s="21"/>
      <c r="AR143" s="21"/>
      <c r="AS143" s="21"/>
      <c r="AT143" s="19"/>
      <c r="AU143" s="21"/>
      <c r="AV143" s="19"/>
      <c r="AW143" s="19"/>
      <c r="AZ143" s="19"/>
      <c r="BA143" s="19"/>
      <c r="BB143" s="19"/>
      <c r="BC143" s="19"/>
      <c r="BD143" s="19"/>
      <c r="BE143" s="19"/>
      <c r="BF143" s="19"/>
      <c r="BG143" s="19"/>
      <c r="BH143" s="19"/>
      <c r="BJ143" s="19"/>
      <c r="BK143" s="19"/>
      <c r="BL143" s="21"/>
      <c r="BM143" s="19"/>
      <c r="BN143" s="19"/>
      <c r="BO143" s="19"/>
      <c r="BP143" s="21"/>
      <c r="BQ143" s="19"/>
      <c r="BR143" s="19"/>
      <c r="BS143" s="19"/>
      <c r="BT143" s="20"/>
      <c r="BU143" s="19"/>
      <c r="BV143" s="19"/>
    </row>
    <row r="144" spans="1:74" ht="15" customHeight="1">
      <c r="A144" s="17" t="s">
        <v>24</v>
      </c>
      <c r="B144" s="38">
        <v>12800.069876136724</v>
      </c>
      <c r="C144" s="38">
        <v>4752.8935658723294</v>
      </c>
      <c r="D144" s="38">
        <v>45002.163710709043</v>
      </c>
      <c r="E144" s="38">
        <v>6711.343909995282</v>
      </c>
      <c r="F144" s="38">
        <v>17465.499497181896</v>
      </c>
      <c r="G144" s="37"/>
      <c r="H144" s="34">
        <v>86731.970559895271</v>
      </c>
      <c r="I144" s="37"/>
      <c r="J144" s="38">
        <v>38497.324352992495</v>
      </c>
      <c r="K144" s="38">
        <v>7331.2297044177567</v>
      </c>
      <c r="L144" s="38">
        <v>22802.142889088907</v>
      </c>
      <c r="M144" s="38">
        <v>16416.612304776667</v>
      </c>
      <c r="N144" s="38">
        <v>40433.100008083784</v>
      </c>
      <c r="O144" s="38">
        <v>13919.891701052948</v>
      </c>
      <c r="P144" s="38">
        <v>22194.591068596739</v>
      </c>
      <c r="Q144" s="38">
        <v>15658.600156163884</v>
      </c>
      <c r="R144" s="37"/>
      <c r="S144" s="34">
        <v>177253.49218517318</v>
      </c>
      <c r="T144" s="36"/>
      <c r="U144" s="35">
        <v>8901.792743691798</v>
      </c>
      <c r="V144" s="34">
        <v>255083.67000137668</v>
      </c>
      <c r="W144" s="31">
        <v>20712.640074388662</v>
      </c>
      <c r="X144" s="31">
        <v>4979.242714616842</v>
      </c>
      <c r="Y144" s="31">
        <v>12539.850850388015</v>
      </c>
      <c r="Z144" s="31">
        <v>38231.733639393518</v>
      </c>
      <c r="AA144" s="33">
        <v>293315.40364077018</v>
      </c>
      <c r="AB144" s="32"/>
      <c r="AC144" s="31"/>
      <c r="AD144" s="44"/>
      <c r="AE144" s="39"/>
      <c r="AG144" s="19"/>
      <c r="AH144" s="19"/>
      <c r="AI144" s="19"/>
      <c r="AJ144" s="19"/>
      <c r="AK144" s="19"/>
      <c r="AL144" s="19"/>
      <c r="AM144" s="19"/>
      <c r="AN144" s="19"/>
      <c r="AP144" s="19"/>
      <c r="AQ144" s="21"/>
      <c r="AR144" s="21"/>
      <c r="AS144" s="21"/>
      <c r="AT144" s="19"/>
      <c r="AU144" s="21"/>
      <c r="AV144" s="19"/>
      <c r="AW144" s="19"/>
      <c r="AZ144" s="19"/>
      <c r="BA144" s="19"/>
      <c r="BB144" s="19"/>
      <c r="BC144" s="19"/>
      <c r="BD144" s="19"/>
      <c r="BE144" s="19"/>
      <c r="BF144" s="19"/>
      <c r="BG144" s="19"/>
      <c r="BH144" s="19"/>
      <c r="BJ144" s="19"/>
      <c r="BK144" s="19"/>
      <c r="BL144" s="21"/>
      <c r="BM144" s="19"/>
      <c r="BN144" s="19"/>
      <c r="BO144" s="19"/>
      <c r="BP144" s="21"/>
      <c r="BQ144" s="19"/>
      <c r="BR144" s="19"/>
      <c r="BS144" s="19"/>
      <c r="BT144" s="20"/>
      <c r="BU144" s="19"/>
      <c r="BV144" s="19"/>
    </row>
    <row r="145" spans="1:74" ht="15" customHeight="1">
      <c r="A145" s="17" t="s">
        <v>23</v>
      </c>
      <c r="B145" s="38">
        <v>12546.613736607344</v>
      </c>
      <c r="C145" s="38">
        <v>4446.7953892981095</v>
      </c>
      <c r="D145" s="38">
        <v>44096.770400340574</v>
      </c>
      <c r="E145" s="38">
        <v>6118.6359463680074</v>
      </c>
      <c r="F145" s="38">
        <v>17383.797802052777</v>
      </c>
      <c r="G145" s="37"/>
      <c r="H145" s="34">
        <v>84592.613274666815</v>
      </c>
      <c r="I145" s="37"/>
      <c r="J145" s="38">
        <v>36220.210252278419</v>
      </c>
      <c r="K145" s="38">
        <v>7537.7645661273255</v>
      </c>
      <c r="L145" s="38">
        <v>23382.938239563089</v>
      </c>
      <c r="M145" s="38">
        <v>16276.211500346266</v>
      </c>
      <c r="N145" s="38">
        <v>40623.489125042797</v>
      </c>
      <c r="O145" s="38">
        <v>13902.47051828535</v>
      </c>
      <c r="P145" s="38">
        <v>21985.499086699841</v>
      </c>
      <c r="Q145" s="38">
        <v>15510.995164385966</v>
      </c>
      <c r="R145" s="37"/>
      <c r="S145" s="34">
        <v>175439.57845272907</v>
      </c>
      <c r="T145" s="36"/>
      <c r="U145" s="35">
        <v>8669.3454477810137</v>
      </c>
      <c r="V145" s="34">
        <v>251362.84627961487</v>
      </c>
      <c r="W145" s="31">
        <v>19244.224152683382</v>
      </c>
      <c r="X145" s="31">
        <v>4218.0262327168875</v>
      </c>
      <c r="Y145" s="31">
        <v>11442.752619921595</v>
      </c>
      <c r="Z145" s="31">
        <v>34905.003005321865</v>
      </c>
      <c r="AA145" s="33">
        <v>286267.84928493673</v>
      </c>
      <c r="AB145" s="32"/>
      <c r="AC145" s="31"/>
      <c r="AD145" s="44"/>
      <c r="AE145" s="39"/>
      <c r="AG145" s="19"/>
      <c r="AH145" s="19"/>
      <c r="AI145" s="19"/>
      <c r="AJ145" s="19"/>
      <c r="AK145" s="19"/>
      <c r="AL145" s="19"/>
      <c r="AM145" s="19"/>
      <c r="AN145" s="19"/>
      <c r="AP145" s="19"/>
      <c r="AQ145" s="21"/>
      <c r="AR145" s="21"/>
      <c r="AS145" s="21"/>
      <c r="AT145" s="19"/>
      <c r="AU145" s="21"/>
      <c r="AV145" s="19"/>
      <c r="AW145" s="19"/>
      <c r="AZ145" s="19"/>
      <c r="BA145" s="19"/>
      <c r="BB145" s="19"/>
      <c r="BC145" s="19"/>
      <c r="BD145" s="19"/>
      <c r="BE145" s="19"/>
      <c r="BF145" s="19"/>
      <c r="BG145" s="19"/>
      <c r="BH145" s="19"/>
      <c r="BJ145" s="19"/>
      <c r="BK145" s="19"/>
      <c r="BL145" s="21"/>
      <c r="BM145" s="19"/>
      <c r="BN145" s="19"/>
      <c r="BO145" s="19"/>
      <c r="BP145" s="21"/>
      <c r="BQ145" s="19"/>
      <c r="BR145" s="19"/>
      <c r="BS145" s="19"/>
      <c r="BT145" s="20"/>
      <c r="BU145" s="19"/>
      <c r="BV145" s="19"/>
    </row>
    <row r="146" spans="1:74" ht="15" customHeight="1">
      <c r="A146" s="55"/>
      <c r="B146" s="57"/>
      <c r="C146" s="57"/>
      <c r="D146" s="57"/>
      <c r="E146" s="57"/>
      <c r="F146" s="57"/>
      <c r="G146" s="57"/>
      <c r="H146" s="59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9"/>
      <c r="T146" s="28"/>
      <c r="U146" s="60"/>
      <c r="V146" s="59"/>
      <c r="W146" s="58"/>
      <c r="X146" s="58"/>
      <c r="Y146" s="58"/>
      <c r="Z146" s="57"/>
      <c r="AA146" s="56"/>
      <c r="AB146" s="32"/>
      <c r="AC146" s="48"/>
      <c r="AD146" s="44"/>
      <c r="AE146" s="39"/>
      <c r="AG146" s="19"/>
      <c r="AH146" s="19"/>
      <c r="AI146" s="19"/>
      <c r="AJ146" s="19"/>
      <c r="AK146" s="19"/>
      <c r="AL146" s="19"/>
      <c r="AM146" s="19"/>
      <c r="AN146" s="19"/>
      <c r="AP146" s="19"/>
      <c r="AQ146" s="21"/>
      <c r="AR146" s="21"/>
      <c r="AS146" s="21"/>
      <c r="AT146" s="19"/>
      <c r="AU146" s="21"/>
      <c r="AV146" s="19"/>
      <c r="AW146" s="19"/>
      <c r="AZ146" s="19"/>
      <c r="BA146" s="19"/>
      <c r="BB146" s="19"/>
      <c r="BC146" s="19"/>
      <c r="BD146" s="19"/>
      <c r="BE146" s="19"/>
      <c r="BF146" s="19"/>
      <c r="BG146" s="19"/>
      <c r="BH146" s="19"/>
      <c r="BJ146" s="19"/>
      <c r="BK146" s="19"/>
      <c r="BL146" s="21"/>
      <c r="BM146" s="19"/>
      <c r="BN146" s="19"/>
      <c r="BO146" s="19"/>
      <c r="BP146" s="21"/>
      <c r="BQ146" s="19"/>
      <c r="BR146" s="19"/>
      <c r="BS146" s="19"/>
      <c r="BT146" s="20"/>
      <c r="BU146" s="19"/>
      <c r="BV146" s="19"/>
    </row>
    <row r="147" spans="1:74" ht="15" customHeight="1">
      <c r="A147" s="17"/>
      <c r="B147" s="65"/>
      <c r="C147" s="65"/>
      <c r="D147" s="65"/>
      <c r="E147" s="65"/>
      <c r="F147" s="65"/>
      <c r="G147" s="65"/>
      <c r="H147" s="63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3"/>
      <c r="U147" s="67"/>
      <c r="V147" s="63"/>
      <c r="W147" s="66"/>
      <c r="X147" s="66"/>
      <c r="Y147" s="66"/>
      <c r="Z147" s="65"/>
      <c r="AA147" s="64"/>
      <c r="AB147" s="32"/>
      <c r="AC147" s="48"/>
      <c r="AD147" s="44"/>
      <c r="AE147" s="39"/>
      <c r="AG147" s="19"/>
      <c r="AH147" s="19"/>
      <c r="AI147" s="19"/>
      <c r="AJ147" s="19"/>
      <c r="AK147" s="19"/>
      <c r="AL147" s="19"/>
      <c r="AM147" s="19"/>
      <c r="AN147" s="19"/>
      <c r="AP147" s="19"/>
      <c r="AQ147" s="21"/>
      <c r="AR147" s="21"/>
      <c r="AS147" s="21"/>
      <c r="AT147" s="19"/>
      <c r="AU147" s="21"/>
      <c r="AV147" s="19"/>
      <c r="AW147" s="19"/>
      <c r="AZ147" s="19"/>
      <c r="BA147" s="19"/>
      <c r="BB147" s="19"/>
      <c r="BC147" s="19"/>
      <c r="BD147" s="19"/>
      <c r="BE147" s="19"/>
      <c r="BF147" s="19"/>
      <c r="BG147" s="19"/>
      <c r="BH147" s="19"/>
      <c r="BJ147" s="19"/>
      <c r="BK147" s="19"/>
      <c r="BL147" s="21"/>
      <c r="BM147" s="19"/>
      <c r="BN147" s="19"/>
      <c r="BO147" s="19"/>
      <c r="BP147" s="21"/>
      <c r="BQ147" s="19"/>
      <c r="BR147" s="19"/>
      <c r="BS147" s="19"/>
      <c r="BT147" s="20"/>
      <c r="BU147" s="19"/>
      <c r="BV147" s="19"/>
    </row>
    <row r="148" spans="1:74" ht="15" customHeight="1">
      <c r="A148" s="17">
        <v>1999</v>
      </c>
      <c r="B148" s="34">
        <v>15186.216939918973</v>
      </c>
      <c r="C148" s="34">
        <v>4505.1548552348704</v>
      </c>
      <c r="D148" s="34">
        <v>40275.33094633618</v>
      </c>
      <c r="E148" s="34">
        <v>6469.0681487777438</v>
      </c>
      <c r="F148" s="34">
        <v>15590.831785621112</v>
      </c>
      <c r="G148" s="19"/>
      <c r="H148" s="34">
        <v>82026.602675888877</v>
      </c>
      <c r="I148" s="38"/>
      <c r="J148" s="34">
        <v>35072.171346838288</v>
      </c>
      <c r="K148" s="34">
        <v>7103.448150624311</v>
      </c>
      <c r="L148" s="34">
        <v>22366.40356091168</v>
      </c>
      <c r="M148" s="34">
        <v>16043.245574313441</v>
      </c>
      <c r="N148" s="34">
        <v>39664.313380435095</v>
      </c>
      <c r="O148" s="34">
        <v>14184.786011071037</v>
      </c>
      <c r="P148" s="34">
        <v>21397.542872272061</v>
      </c>
      <c r="Q148" s="34">
        <v>15174.58183561785</v>
      </c>
      <c r="R148" s="34"/>
      <c r="S148" s="34">
        <v>171006.49273208377</v>
      </c>
      <c r="T148" s="12"/>
      <c r="U148" s="42">
        <v>8341.8715593637098</v>
      </c>
      <c r="V148" s="34">
        <v>244691.22384860893</v>
      </c>
      <c r="W148" s="34">
        <v>18518.202995130312</v>
      </c>
      <c r="X148" s="34">
        <v>3874.5987069563071</v>
      </c>
      <c r="Y148" s="34">
        <v>11284.988321022283</v>
      </c>
      <c r="Z148" s="34">
        <v>33677.790023108901</v>
      </c>
      <c r="AA148" s="33">
        <v>278369.01387171785</v>
      </c>
      <c r="AB148" s="32"/>
      <c r="AC148" s="48"/>
      <c r="AD148" s="44"/>
      <c r="AE148" s="39"/>
      <c r="AG148" s="19"/>
      <c r="AH148" s="19"/>
      <c r="AI148" s="19"/>
      <c r="AJ148" s="19"/>
      <c r="AK148" s="19"/>
      <c r="AL148" s="19"/>
      <c r="AM148" s="19"/>
      <c r="AN148" s="19"/>
      <c r="AP148" s="19"/>
      <c r="AQ148" s="21"/>
      <c r="AR148" s="21"/>
      <c r="AS148" s="21"/>
      <c r="AT148" s="19"/>
      <c r="AU148" s="21"/>
      <c r="AV148" s="19"/>
      <c r="AW148" s="19"/>
      <c r="AZ148" s="19"/>
      <c r="BA148" s="19"/>
      <c r="BB148" s="19"/>
      <c r="BC148" s="19"/>
      <c r="BD148" s="19"/>
      <c r="BE148" s="19"/>
      <c r="BF148" s="19"/>
      <c r="BG148" s="19"/>
      <c r="BH148" s="19"/>
      <c r="BJ148" s="19"/>
      <c r="BK148" s="19"/>
      <c r="BL148" s="21"/>
      <c r="BM148" s="19"/>
      <c r="BN148" s="19"/>
      <c r="BO148" s="19"/>
      <c r="BP148" s="21"/>
      <c r="BQ148" s="19"/>
      <c r="BR148" s="19"/>
      <c r="BS148" s="19"/>
      <c r="BT148" s="20"/>
      <c r="BU148" s="19"/>
      <c r="BV148" s="19"/>
    </row>
    <row r="149" spans="1:74" ht="15" customHeight="1">
      <c r="A149" s="17" t="s">
        <v>26</v>
      </c>
      <c r="B149" s="38">
        <v>14470.916672259435</v>
      </c>
      <c r="C149" s="38">
        <v>4306.1834684734104</v>
      </c>
      <c r="D149" s="38">
        <v>38067.468636001111</v>
      </c>
      <c r="E149" s="38">
        <v>6044.2728759148813</v>
      </c>
      <c r="F149" s="38">
        <v>15316.504396016331</v>
      </c>
      <c r="G149" s="37"/>
      <c r="H149" s="34">
        <v>78205.346048665175</v>
      </c>
      <c r="I149" s="37"/>
      <c r="J149" s="38">
        <v>33366.438543321005</v>
      </c>
      <c r="K149" s="38">
        <v>7416.622365328124</v>
      </c>
      <c r="L149" s="38">
        <v>21346.748459023318</v>
      </c>
      <c r="M149" s="38">
        <v>15674.562563952726</v>
      </c>
      <c r="N149" s="38">
        <v>38320.929041710035</v>
      </c>
      <c r="O149" s="38">
        <v>14161.879840203996</v>
      </c>
      <c r="P149" s="38">
        <v>17526.208529977572</v>
      </c>
      <c r="Q149" s="38">
        <v>13891.03322031473</v>
      </c>
      <c r="R149" s="37"/>
      <c r="S149" s="34">
        <v>161704.42256383153</v>
      </c>
      <c r="T149" s="36"/>
      <c r="U149" s="35">
        <v>8187.1926717585784</v>
      </c>
      <c r="V149" s="34">
        <v>231722.57594073811</v>
      </c>
      <c r="W149" s="31">
        <v>18817.580535521745</v>
      </c>
      <c r="X149" s="31">
        <v>3460.5776079217139</v>
      </c>
      <c r="Y149" s="31">
        <v>11023.901807590086</v>
      </c>
      <c r="Z149" s="31">
        <v>33302.059951033545</v>
      </c>
      <c r="AA149" s="33">
        <v>265024.63589177164</v>
      </c>
      <c r="AB149" s="32"/>
      <c r="AC149" s="31"/>
      <c r="AD149" s="44"/>
      <c r="AE149" s="39"/>
      <c r="AG149" s="19"/>
      <c r="AH149" s="19"/>
      <c r="AI149" s="19"/>
      <c r="AJ149" s="19"/>
      <c r="AK149" s="19"/>
      <c r="AL149" s="19"/>
      <c r="AM149" s="19"/>
      <c r="AN149" s="19"/>
      <c r="AP149" s="19"/>
      <c r="AQ149" s="21"/>
      <c r="AR149" s="21"/>
      <c r="AS149" s="21"/>
      <c r="AT149" s="19"/>
      <c r="AU149" s="21"/>
      <c r="AV149" s="19"/>
      <c r="AW149" s="19"/>
      <c r="AZ149" s="19"/>
      <c r="BA149" s="19"/>
      <c r="BB149" s="19"/>
      <c r="BC149" s="19"/>
      <c r="BD149" s="19"/>
      <c r="BE149" s="19"/>
      <c r="BF149" s="19"/>
      <c r="BG149" s="19"/>
      <c r="BH149" s="19"/>
      <c r="BJ149" s="19"/>
      <c r="BK149" s="19"/>
      <c r="BL149" s="21"/>
      <c r="BM149" s="19"/>
      <c r="BN149" s="19"/>
      <c r="BO149" s="19"/>
      <c r="BP149" s="21"/>
      <c r="BQ149" s="19"/>
      <c r="BR149" s="19"/>
      <c r="BS149" s="19"/>
      <c r="BT149" s="20"/>
      <c r="BU149" s="19"/>
      <c r="BV149" s="19"/>
    </row>
    <row r="150" spans="1:74" ht="15" customHeight="1">
      <c r="A150" s="17" t="s">
        <v>25</v>
      </c>
      <c r="B150" s="38">
        <v>20591.262142396321</v>
      </c>
      <c r="C150" s="38">
        <v>4502.2425656627647</v>
      </c>
      <c r="D150" s="38">
        <v>40160.235923113098</v>
      </c>
      <c r="E150" s="38">
        <v>6502.975404707885</v>
      </c>
      <c r="F150" s="38">
        <v>16109.350596338263</v>
      </c>
      <c r="G150" s="37"/>
      <c r="H150" s="34">
        <v>87866.066632218339</v>
      </c>
      <c r="I150" s="37"/>
      <c r="J150" s="38">
        <v>36743.257197122701</v>
      </c>
      <c r="K150" s="38">
        <v>6741.6028936132152</v>
      </c>
      <c r="L150" s="38">
        <v>22192.932753128985</v>
      </c>
      <c r="M150" s="38">
        <v>16114.251079460226</v>
      </c>
      <c r="N150" s="38">
        <v>39537.676803675255</v>
      </c>
      <c r="O150" s="38">
        <v>14186.018548073856</v>
      </c>
      <c r="P150" s="38">
        <v>22828.374520323014</v>
      </c>
      <c r="Q150" s="38">
        <v>15585.728334321881</v>
      </c>
      <c r="R150" s="37"/>
      <c r="S150" s="34">
        <v>173929.84212971912</v>
      </c>
      <c r="T150" s="36"/>
      <c r="U150" s="35">
        <v>8363.743607495946</v>
      </c>
      <c r="V150" s="34">
        <v>253432.16515444152</v>
      </c>
      <c r="W150" s="31">
        <v>17980.238441702837</v>
      </c>
      <c r="X150" s="31">
        <v>3656.3423316492217</v>
      </c>
      <c r="Y150" s="31">
        <v>11343.580983701086</v>
      </c>
      <c r="Z150" s="31">
        <v>32980.161757053145</v>
      </c>
      <c r="AA150" s="33">
        <v>286412.32691149466</v>
      </c>
      <c r="AB150" s="32"/>
      <c r="AC150" s="31"/>
      <c r="AD150" s="44"/>
      <c r="AE150" s="39"/>
      <c r="AG150" s="19"/>
      <c r="AH150" s="19"/>
      <c r="AI150" s="19"/>
      <c r="AJ150" s="19"/>
      <c r="AK150" s="19"/>
      <c r="AL150" s="19"/>
      <c r="AM150" s="19"/>
      <c r="AN150" s="19"/>
      <c r="AP150" s="19"/>
      <c r="AQ150" s="21"/>
      <c r="AR150" s="21"/>
      <c r="AS150" s="21"/>
      <c r="AT150" s="19"/>
      <c r="AU150" s="21"/>
      <c r="AV150" s="19"/>
      <c r="AW150" s="19"/>
      <c r="AZ150" s="19"/>
      <c r="BA150" s="19"/>
      <c r="BB150" s="19"/>
      <c r="BC150" s="19"/>
      <c r="BD150" s="19"/>
      <c r="BE150" s="19"/>
      <c r="BF150" s="19"/>
      <c r="BG150" s="19"/>
      <c r="BH150" s="19"/>
      <c r="BJ150" s="19"/>
      <c r="BK150" s="19"/>
      <c r="BL150" s="21"/>
      <c r="BM150" s="19"/>
      <c r="BN150" s="19"/>
      <c r="BO150" s="19"/>
      <c r="BP150" s="21"/>
      <c r="BQ150" s="19"/>
      <c r="BR150" s="19"/>
      <c r="BS150" s="19"/>
      <c r="BT150" s="20"/>
      <c r="BU150" s="19"/>
      <c r="BV150" s="19"/>
    </row>
    <row r="151" spans="1:74" ht="15" customHeight="1">
      <c r="A151" s="17" t="s">
        <v>24</v>
      </c>
      <c r="B151" s="38">
        <v>12908.443371500693</v>
      </c>
      <c r="C151" s="38">
        <v>4639.854944612187</v>
      </c>
      <c r="D151" s="38">
        <v>40137.054598944873</v>
      </c>
      <c r="E151" s="38">
        <v>6896.9820037808877</v>
      </c>
      <c r="F151" s="38">
        <v>15379.215455529986</v>
      </c>
      <c r="G151" s="37"/>
      <c r="H151" s="34">
        <v>79961.550374368628</v>
      </c>
      <c r="I151" s="37"/>
      <c r="J151" s="38">
        <v>34792.615541991312</v>
      </c>
      <c r="K151" s="38">
        <v>6862.07621198588</v>
      </c>
      <c r="L151" s="38">
        <v>22455.659813110567</v>
      </c>
      <c r="M151" s="38">
        <v>16071.288818499941</v>
      </c>
      <c r="N151" s="38">
        <v>40067.466856627201</v>
      </c>
      <c r="O151" s="38">
        <v>14183.267462013171</v>
      </c>
      <c r="P151" s="38">
        <v>22772.073949244994</v>
      </c>
      <c r="Q151" s="38">
        <v>15510.875929342988</v>
      </c>
      <c r="R151" s="37"/>
      <c r="S151" s="34">
        <v>172715.32458281604</v>
      </c>
      <c r="T151" s="36"/>
      <c r="U151" s="35">
        <v>8468.3934441588335</v>
      </c>
      <c r="V151" s="34">
        <v>244208.48151302582</v>
      </c>
      <c r="W151" s="31">
        <v>18424.895533102761</v>
      </c>
      <c r="X151" s="31">
        <v>4304.7444271989825</v>
      </c>
      <c r="Y151" s="31">
        <v>11534.57200690502</v>
      </c>
      <c r="Z151" s="31">
        <v>34264.211967206764</v>
      </c>
      <c r="AA151" s="33">
        <v>278472.69348023261</v>
      </c>
      <c r="AB151" s="32"/>
      <c r="AC151" s="31"/>
      <c r="AD151" s="44"/>
      <c r="AE151" s="39"/>
      <c r="AG151" s="19"/>
      <c r="AH151" s="19"/>
      <c r="AI151" s="19"/>
      <c r="AJ151" s="19"/>
      <c r="AK151" s="19"/>
      <c r="AL151" s="19"/>
      <c r="AM151" s="19"/>
      <c r="AN151" s="19"/>
      <c r="AP151" s="19"/>
      <c r="AQ151" s="21"/>
      <c r="AR151" s="21"/>
      <c r="AS151" s="21"/>
      <c r="AT151" s="19"/>
      <c r="AU151" s="21"/>
      <c r="AV151" s="19"/>
      <c r="AW151" s="19"/>
      <c r="AZ151" s="19"/>
      <c r="BA151" s="19"/>
      <c r="BB151" s="19"/>
      <c r="BC151" s="19"/>
      <c r="BD151" s="19"/>
      <c r="BE151" s="19"/>
      <c r="BF151" s="19"/>
      <c r="BG151" s="19"/>
      <c r="BH151" s="19"/>
      <c r="BJ151" s="19"/>
      <c r="BK151" s="19"/>
      <c r="BL151" s="21"/>
      <c r="BM151" s="19"/>
      <c r="BN151" s="19"/>
      <c r="BO151" s="19"/>
      <c r="BP151" s="21"/>
      <c r="BQ151" s="19"/>
      <c r="BR151" s="19"/>
      <c r="BS151" s="19"/>
      <c r="BT151" s="20"/>
      <c r="BU151" s="19"/>
      <c r="BV151" s="19"/>
    </row>
    <row r="152" spans="1:74" ht="15" customHeight="1">
      <c r="A152" s="17" t="s">
        <v>23</v>
      </c>
      <c r="B152" s="38">
        <v>12774.245573519456</v>
      </c>
      <c r="C152" s="38">
        <v>4572.3384421911205</v>
      </c>
      <c r="D152" s="38">
        <v>42736.564627285632</v>
      </c>
      <c r="E152" s="38">
        <v>6432.0423107073229</v>
      </c>
      <c r="F152" s="38">
        <v>15558.25669459987</v>
      </c>
      <c r="G152" s="37"/>
      <c r="H152" s="34">
        <v>82073.447648303409</v>
      </c>
      <c r="I152" s="37"/>
      <c r="J152" s="38">
        <v>35386.374104918134</v>
      </c>
      <c r="K152" s="38">
        <v>7393.4911315700219</v>
      </c>
      <c r="L152" s="38">
        <v>23470.273218383849</v>
      </c>
      <c r="M152" s="38">
        <v>16312.879835340867</v>
      </c>
      <c r="N152" s="38">
        <v>40731.180819727895</v>
      </c>
      <c r="O152" s="38">
        <v>14207.978193993125</v>
      </c>
      <c r="P152" s="38">
        <v>22463.514489542664</v>
      </c>
      <c r="Q152" s="38">
        <v>15710.689858491798</v>
      </c>
      <c r="R152" s="37"/>
      <c r="S152" s="34">
        <v>175676.38165196835</v>
      </c>
      <c r="T152" s="36"/>
      <c r="U152" s="35">
        <v>8348.1565140414859</v>
      </c>
      <c r="V152" s="34">
        <v>249401.67278623028</v>
      </c>
      <c r="W152" s="31">
        <v>18850.097470193901</v>
      </c>
      <c r="X152" s="31">
        <v>4076.7304610553119</v>
      </c>
      <c r="Y152" s="31">
        <v>11237.898485892943</v>
      </c>
      <c r="Z152" s="31">
        <v>34164.726417142156</v>
      </c>
      <c r="AA152" s="33">
        <v>283566.39920337242</v>
      </c>
      <c r="AB152" s="32"/>
      <c r="AC152" s="31"/>
      <c r="AD152" s="44"/>
      <c r="AE152" s="39"/>
      <c r="AG152" s="19"/>
      <c r="AH152" s="19"/>
      <c r="AI152" s="19"/>
      <c r="AJ152" s="19"/>
      <c r="AK152" s="19"/>
      <c r="AL152" s="19"/>
      <c r="AM152" s="19"/>
      <c r="AN152" s="19"/>
      <c r="AP152" s="19"/>
      <c r="AQ152" s="21"/>
      <c r="AR152" s="21"/>
      <c r="AS152" s="21"/>
      <c r="AT152" s="19"/>
      <c r="AU152" s="21"/>
      <c r="AV152" s="19"/>
      <c r="AW152" s="19"/>
      <c r="AZ152" s="19"/>
      <c r="BA152" s="19"/>
      <c r="BB152" s="19"/>
      <c r="BC152" s="19"/>
      <c r="BD152" s="19"/>
      <c r="BE152" s="19"/>
      <c r="BF152" s="19"/>
      <c r="BG152" s="19"/>
      <c r="BH152" s="19"/>
      <c r="BJ152" s="19"/>
      <c r="BK152" s="19"/>
      <c r="BL152" s="21"/>
      <c r="BM152" s="19"/>
      <c r="BN152" s="19"/>
      <c r="BO152" s="19"/>
      <c r="BP152" s="21"/>
      <c r="BQ152" s="19"/>
      <c r="BR152" s="19"/>
      <c r="BS152" s="19"/>
      <c r="BT152" s="20"/>
      <c r="BU152" s="19"/>
      <c r="BV152" s="19"/>
    </row>
    <row r="153" spans="1:74" ht="15" customHeight="1">
      <c r="A153" s="55"/>
      <c r="B153" s="57"/>
      <c r="C153" s="57"/>
      <c r="D153" s="57"/>
      <c r="E153" s="57"/>
      <c r="F153" s="57"/>
      <c r="G153" s="57"/>
      <c r="H153" s="59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9"/>
      <c r="T153" s="28"/>
      <c r="U153" s="60"/>
      <c r="V153" s="59"/>
      <c r="W153" s="58"/>
      <c r="X153" s="58"/>
      <c r="Y153" s="58"/>
      <c r="Z153" s="57"/>
      <c r="AA153" s="56"/>
      <c r="AB153" s="32"/>
      <c r="AC153" s="48"/>
      <c r="AD153" s="44"/>
      <c r="AE153" s="39"/>
      <c r="AG153" s="19"/>
      <c r="AH153" s="19"/>
      <c r="AI153" s="19"/>
      <c r="AJ153" s="19"/>
      <c r="AK153" s="19"/>
      <c r="AL153" s="19"/>
      <c r="AM153" s="19"/>
      <c r="AN153" s="19"/>
      <c r="AP153" s="19"/>
      <c r="AQ153" s="21"/>
      <c r="AR153" s="21"/>
      <c r="AS153" s="21"/>
      <c r="AT153" s="19"/>
      <c r="AU153" s="21"/>
      <c r="AV153" s="19"/>
      <c r="AW153" s="19"/>
      <c r="AZ153" s="19"/>
      <c r="BA153" s="19"/>
      <c r="BB153" s="19"/>
      <c r="BC153" s="19"/>
      <c r="BD153" s="19"/>
      <c r="BE153" s="19"/>
      <c r="BF153" s="19"/>
      <c r="BG153" s="19"/>
      <c r="BH153" s="19"/>
      <c r="BJ153" s="19"/>
      <c r="BK153" s="19"/>
      <c r="BL153" s="21"/>
      <c r="BM153" s="19"/>
      <c r="BN153" s="19"/>
      <c r="BO153" s="19"/>
      <c r="BP153" s="21"/>
      <c r="BQ153" s="19"/>
      <c r="BR153" s="19"/>
      <c r="BS153" s="19"/>
      <c r="BT153" s="20"/>
      <c r="BU153" s="19"/>
      <c r="BV153" s="19"/>
    </row>
    <row r="154" spans="1:74" ht="15" customHeight="1">
      <c r="A154" s="17"/>
      <c r="B154" s="65"/>
      <c r="C154" s="65"/>
      <c r="D154" s="65"/>
      <c r="E154" s="65"/>
      <c r="F154" s="65"/>
      <c r="G154" s="65"/>
      <c r="H154" s="63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3"/>
      <c r="U154" s="67"/>
      <c r="V154" s="63"/>
      <c r="W154" s="66"/>
      <c r="X154" s="66"/>
      <c r="Y154" s="66"/>
      <c r="Z154" s="65"/>
      <c r="AA154" s="64"/>
      <c r="AB154" s="32"/>
      <c r="AC154" s="48"/>
      <c r="AD154" s="44"/>
      <c r="AE154" s="39"/>
      <c r="AG154" s="19"/>
      <c r="AH154" s="19"/>
      <c r="AI154" s="19"/>
      <c r="AJ154" s="19"/>
      <c r="AK154" s="19"/>
      <c r="AL154" s="19"/>
      <c r="AM154" s="19"/>
      <c r="AN154" s="19"/>
      <c r="AP154" s="19"/>
      <c r="AQ154" s="21"/>
      <c r="AR154" s="21"/>
      <c r="AS154" s="21"/>
      <c r="AT154" s="19"/>
      <c r="AU154" s="21"/>
      <c r="AV154" s="19"/>
      <c r="AW154" s="19"/>
      <c r="AZ154" s="19"/>
      <c r="BA154" s="19"/>
      <c r="BB154" s="19"/>
      <c r="BC154" s="19"/>
      <c r="BD154" s="19"/>
      <c r="BE154" s="19"/>
      <c r="BF154" s="19"/>
      <c r="BG154" s="19"/>
      <c r="BH154" s="19"/>
      <c r="BJ154" s="19"/>
      <c r="BK154" s="19"/>
      <c r="BL154" s="21"/>
      <c r="BM154" s="19"/>
      <c r="BN154" s="19"/>
      <c r="BO154" s="19"/>
      <c r="BP154" s="21"/>
      <c r="BQ154" s="19"/>
      <c r="BR154" s="19"/>
      <c r="BS154" s="19"/>
      <c r="BT154" s="20"/>
      <c r="BU154" s="19"/>
      <c r="BV154" s="19"/>
    </row>
    <row r="155" spans="1:74" ht="15" customHeight="1">
      <c r="A155" s="17">
        <v>2000</v>
      </c>
      <c r="B155" s="34">
        <v>14919.930727135474</v>
      </c>
      <c r="C155" s="34">
        <v>4808.0626803232444</v>
      </c>
      <c r="D155" s="34">
        <v>38731.59061091832</v>
      </c>
      <c r="E155" s="34">
        <v>6897.2695481417122</v>
      </c>
      <c r="F155" s="34">
        <v>14137.94549995874</v>
      </c>
      <c r="G155" s="40"/>
      <c r="H155" s="34">
        <v>79494.799066477484</v>
      </c>
      <c r="I155" s="38"/>
      <c r="J155" s="34">
        <v>34063.43227492334</v>
      </c>
      <c r="K155" s="34">
        <v>7103.2128799713928</v>
      </c>
      <c r="L155" s="34">
        <v>22753.864906240884</v>
      </c>
      <c r="M155" s="34">
        <v>16393.913331232565</v>
      </c>
      <c r="N155" s="34">
        <v>40023.015715632522</v>
      </c>
      <c r="O155" s="34">
        <v>14280.518988347274</v>
      </c>
      <c r="P155" s="34">
        <v>21950.263684871239</v>
      </c>
      <c r="Q155" s="34">
        <v>15389.34315072446</v>
      </c>
      <c r="R155" s="34"/>
      <c r="S155" s="34">
        <v>171957.56493194366</v>
      </c>
      <c r="T155" s="12"/>
      <c r="U155" s="42">
        <v>8408.8521121894773</v>
      </c>
      <c r="V155" s="34">
        <v>243043.51188623166</v>
      </c>
      <c r="W155" s="34">
        <v>18217.743644125367</v>
      </c>
      <c r="X155" s="34">
        <v>3830.2245673588377</v>
      </c>
      <c r="Y155" s="34">
        <v>11081.20525493417</v>
      </c>
      <c r="Z155" s="34">
        <v>33129.173466418375</v>
      </c>
      <c r="AA155" s="33">
        <v>276172.68535265006</v>
      </c>
      <c r="AB155" s="32"/>
      <c r="AC155" s="48"/>
      <c r="AD155" s="44"/>
      <c r="AE155" s="39"/>
      <c r="AG155" s="19"/>
      <c r="AH155" s="19"/>
      <c r="AI155" s="19"/>
      <c r="AJ155" s="19"/>
      <c r="AK155" s="19"/>
      <c r="AL155" s="19"/>
      <c r="AM155" s="19"/>
      <c r="AN155" s="19"/>
      <c r="AP155" s="19"/>
      <c r="AQ155" s="21"/>
      <c r="AR155" s="21"/>
      <c r="AS155" s="21"/>
      <c r="AT155" s="19"/>
      <c r="AU155" s="21"/>
      <c r="AV155" s="19"/>
      <c r="AW155" s="19"/>
      <c r="AZ155" s="19"/>
      <c r="BA155" s="19"/>
      <c r="BB155" s="19"/>
      <c r="BC155" s="19"/>
      <c r="BD155" s="19"/>
      <c r="BE155" s="19"/>
      <c r="BF155" s="19"/>
      <c r="BG155" s="19"/>
      <c r="BH155" s="19"/>
      <c r="BJ155" s="19"/>
      <c r="BK155" s="19"/>
      <c r="BL155" s="21"/>
      <c r="BM155" s="19"/>
      <c r="BN155" s="19"/>
      <c r="BO155" s="19"/>
      <c r="BP155" s="21"/>
      <c r="BQ155" s="19"/>
      <c r="BR155" s="19"/>
      <c r="BS155" s="19"/>
      <c r="BT155" s="20"/>
      <c r="BU155" s="19"/>
      <c r="BV155" s="19"/>
    </row>
    <row r="156" spans="1:74" ht="15" customHeight="1">
      <c r="A156" s="17" t="s">
        <v>26</v>
      </c>
      <c r="B156" s="38">
        <v>13710.64613752574</v>
      </c>
      <c r="C156" s="38">
        <v>4520.9137912924098</v>
      </c>
      <c r="D156" s="38">
        <v>37115.118134023309</v>
      </c>
      <c r="E156" s="38">
        <v>6396.480238845269</v>
      </c>
      <c r="F156" s="38">
        <v>14403.922228691981</v>
      </c>
      <c r="G156" s="37"/>
      <c r="H156" s="34">
        <v>76147.080530378706</v>
      </c>
      <c r="I156" s="37"/>
      <c r="J156" s="38">
        <v>32898.270213579519</v>
      </c>
      <c r="K156" s="38">
        <v>7451.1816903186218</v>
      </c>
      <c r="L156" s="38">
        <v>21628.868770198886</v>
      </c>
      <c r="M156" s="38">
        <v>16401.815055017829</v>
      </c>
      <c r="N156" s="38">
        <v>38914.279763266808</v>
      </c>
      <c r="O156" s="38">
        <v>14323.137003386802</v>
      </c>
      <c r="P156" s="38">
        <v>17875.824458137315</v>
      </c>
      <c r="Q156" s="38">
        <v>14052.272594218388</v>
      </c>
      <c r="R156" s="37"/>
      <c r="S156" s="34">
        <v>163545.64954812417</v>
      </c>
      <c r="T156" s="36"/>
      <c r="U156" s="35">
        <v>8170.7666364237675</v>
      </c>
      <c r="V156" s="34">
        <v>231521.96344207911</v>
      </c>
      <c r="W156" s="31">
        <v>18598.405400922944</v>
      </c>
      <c r="X156" s="31">
        <v>3476.9784496654192</v>
      </c>
      <c r="Y156" s="31">
        <v>10958.570776274499</v>
      </c>
      <c r="Z156" s="31">
        <v>33033.954626862862</v>
      </c>
      <c r="AA156" s="33">
        <v>264555.91806894197</v>
      </c>
      <c r="AB156" s="32"/>
      <c r="AC156" s="31"/>
      <c r="AD156" s="44"/>
      <c r="AE156" s="39"/>
      <c r="AG156" s="19"/>
      <c r="AH156" s="19"/>
      <c r="AI156" s="19"/>
      <c r="AJ156" s="19"/>
      <c r="AK156" s="19"/>
      <c r="AL156" s="19"/>
      <c r="AM156" s="19"/>
      <c r="AN156" s="19"/>
      <c r="AP156" s="19"/>
      <c r="AQ156" s="21"/>
      <c r="AR156" s="21"/>
      <c r="AS156" s="21"/>
      <c r="AT156" s="19"/>
      <c r="AU156" s="21"/>
      <c r="AV156" s="19"/>
      <c r="AW156" s="19"/>
      <c r="AZ156" s="19"/>
      <c r="BA156" s="19"/>
      <c r="BB156" s="19"/>
      <c r="BC156" s="19"/>
      <c r="BD156" s="19"/>
      <c r="BE156" s="19"/>
      <c r="BF156" s="19"/>
      <c r="BG156" s="19"/>
      <c r="BH156" s="19"/>
      <c r="BJ156" s="19"/>
      <c r="BK156" s="19"/>
      <c r="BL156" s="21"/>
      <c r="BM156" s="19"/>
      <c r="BN156" s="19"/>
      <c r="BO156" s="19"/>
      <c r="BP156" s="21"/>
      <c r="BQ156" s="19"/>
      <c r="BR156" s="19"/>
      <c r="BS156" s="19"/>
      <c r="BT156" s="20"/>
      <c r="BU156" s="19"/>
      <c r="BV156" s="19"/>
    </row>
    <row r="157" spans="1:74" ht="15" customHeight="1">
      <c r="A157" s="17" t="s">
        <v>25</v>
      </c>
      <c r="B157" s="38">
        <v>20813.080471861489</v>
      </c>
      <c r="C157" s="38">
        <v>5058.1802156147005</v>
      </c>
      <c r="D157" s="38">
        <v>38800.70674290233</v>
      </c>
      <c r="E157" s="38">
        <v>6916.3739978294316</v>
      </c>
      <c r="F157" s="38">
        <v>13811.799920953998</v>
      </c>
      <c r="G157" s="37"/>
      <c r="H157" s="34">
        <v>85400.141349161946</v>
      </c>
      <c r="I157" s="37"/>
      <c r="J157" s="38">
        <v>35883.945171093292</v>
      </c>
      <c r="K157" s="38">
        <v>6774.1701237876723</v>
      </c>
      <c r="L157" s="38">
        <v>22681.656890146751</v>
      </c>
      <c r="M157" s="38">
        <v>16679.498157749746</v>
      </c>
      <c r="N157" s="38">
        <v>39699.473051003486</v>
      </c>
      <c r="O157" s="38">
        <v>14355.912461260172</v>
      </c>
      <c r="P157" s="38">
        <v>23520.034846258124</v>
      </c>
      <c r="Q157" s="38">
        <v>15773.352082641479</v>
      </c>
      <c r="R157" s="37"/>
      <c r="S157" s="34">
        <v>175368.04278394071</v>
      </c>
      <c r="T157" s="36"/>
      <c r="U157" s="35">
        <v>8505.9211458876725</v>
      </c>
      <c r="V157" s="34">
        <v>252262.26298721498</v>
      </c>
      <c r="W157" s="31">
        <v>18053.883777052219</v>
      </c>
      <c r="X157" s="31">
        <v>3768.8451726230442</v>
      </c>
      <c r="Y157" s="31">
        <v>11190.183966558223</v>
      </c>
      <c r="Z157" s="31">
        <v>33012.912916233487</v>
      </c>
      <c r="AA157" s="33">
        <v>285275.17590344849</v>
      </c>
      <c r="AB157" s="32"/>
      <c r="AC157" s="31"/>
      <c r="AD157" s="44"/>
      <c r="AE157" s="39"/>
      <c r="AG157" s="19"/>
      <c r="AH157" s="19"/>
      <c r="AI157" s="19"/>
      <c r="AJ157" s="19"/>
      <c r="AK157" s="19"/>
      <c r="AL157" s="19"/>
      <c r="AM157" s="19"/>
      <c r="AN157" s="19"/>
      <c r="AP157" s="19"/>
      <c r="AQ157" s="21"/>
      <c r="AR157" s="21"/>
      <c r="AS157" s="21"/>
      <c r="AT157" s="19"/>
      <c r="AU157" s="21"/>
      <c r="AV157" s="19"/>
      <c r="AW157" s="19"/>
      <c r="AZ157" s="19"/>
      <c r="BA157" s="19"/>
      <c r="BB157" s="19"/>
      <c r="BC157" s="19"/>
      <c r="BD157" s="19"/>
      <c r="BE157" s="19"/>
      <c r="BF157" s="19"/>
      <c r="BG157" s="19"/>
      <c r="BH157" s="19"/>
      <c r="BJ157" s="19"/>
      <c r="BK157" s="19"/>
      <c r="BL157" s="21"/>
      <c r="BM157" s="19"/>
      <c r="BN157" s="19"/>
      <c r="BO157" s="19"/>
      <c r="BP157" s="21"/>
      <c r="BQ157" s="19"/>
      <c r="BR157" s="19"/>
      <c r="BS157" s="19"/>
      <c r="BT157" s="20"/>
      <c r="BU157" s="19"/>
      <c r="BV157" s="19"/>
    </row>
    <row r="158" spans="1:74" ht="15" customHeight="1">
      <c r="A158" s="17" t="s">
        <v>24</v>
      </c>
      <c r="B158" s="38">
        <v>12572.369065508929</v>
      </c>
      <c r="C158" s="38">
        <v>4912.8325085899523</v>
      </c>
      <c r="D158" s="38">
        <v>38755.641103458227</v>
      </c>
      <c r="E158" s="38">
        <v>7661.6840065591396</v>
      </c>
      <c r="F158" s="38">
        <v>14007.745389958</v>
      </c>
      <c r="G158" s="37"/>
      <c r="H158" s="34">
        <v>77910.272074074252</v>
      </c>
      <c r="I158" s="37"/>
      <c r="J158" s="38">
        <v>33647.8127271052</v>
      </c>
      <c r="K158" s="38">
        <v>6882.0156704119199</v>
      </c>
      <c r="L158" s="38">
        <v>23138.394051376872</v>
      </c>
      <c r="M158" s="38">
        <v>16219.862515655985</v>
      </c>
      <c r="N158" s="38">
        <v>40594.489049500131</v>
      </c>
      <c r="O158" s="38">
        <v>14266.700251228895</v>
      </c>
      <c r="P158" s="38">
        <v>23352.077226106871</v>
      </c>
      <c r="Q158" s="38">
        <v>15573.526580546903</v>
      </c>
      <c r="R158" s="37"/>
      <c r="S158" s="34">
        <v>173674.87807193276</v>
      </c>
      <c r="T158" s="36"/>
      <c r="U158" s="35">
        <v>8492.1967380208134</v>
      </c>
      <c r="V158" s="34">
        <v>243092.95340798621</v>
      </c>
      <c r="W158" s="31">
        <v>18185.467632742653</v>
      </c>
      <c r="X158" s="31">
        <v>4167.4358472603471</v>
      </c>
      <c r="Y158" s="31">
        <v>11322.114156900678</v>
      </c>
      <c r="Z158" s="31">
        <v>33675.017636903678</v>
      </c>
      <c r="AA158" s="33">
        <v>276767.97104488988</v>
      </c>
      <c r="AB158" s="32"/>
      <c r="AC158" s="31"/>
      <c r="AD158" s="44"/>
      <c r="AE158" s="39"/>
      <c r="AG158" s="19"/>
      <c r="AH158" s="19"/>
      <c r="AI158" s="19"/>
      <c r="AJ158" s="19"/>
      <c r="AK158" s="19"/>
      <c r="AL158" s="19"/>
      <c r="AM158" s="19"/>
      <c r="AN158" s="19"/>
      <c r="AP158" s="19"/>
      <c r="AQ158" s="21"/>
      <c r="AR158" s="21"/>
      <c r="AS158" s="21"/>
      <c r="AT158" s="19"/>
      <c r="AU158" s="21"/>
      <c r="AV158" s="19"/>
      <c r="AW158" s="19"/>
      <c r="AZ158" s="19"/>
      <c r="BA158" s="19"/>
      <c r="BB158" s="19"/>
      <c r="BC158" s="19"/>
      <c r="BD158" s="19"/>
      <c r="BE158" s="19"/>
      <c r="BF158" s="19"/>
      <c r="BG158" s="19"/>
      <c r="BH158" s="19"/>
      <c r="BJ158" s="19"/>
      <c r="BK158" s="19"/>
      <c r="BL158" s="21"/>
      <c r="BM158" s="19"/>
      <c r="BN158" s="19"/>
      <c r="BO158" s="19"/>
      <c r="BP158" s="21"/>
      <c r="BQ158" s="19"/>
      <c r="BR158" s="19"/>
      <c r="BS158" s="19"/>
      <c r="BT158" s="20"/>
      <c r="BU158" s="19"/>
      <c r="BV158" s="19"/>
    </row>
    <row r="159" spans="1:74" ht="15" customHeight="1">
      <c r="A159" s="17" t="s">
        <v>23</v>
      </c>
      <c r="B159" s="38">
        <v>12583.62723364573</v>
      </c>
      <c r="C159" s="38">
        <v>4740.3242057959133</v>
      </c>
      <c r="D159" s="38">
        <v>40254.896463289406</v>
      </c>
      <c r="E159" s="38">
        <v>6614.5399493330069</v>
      </c>
      <c r="F159" s="38">
        <v>14328.31446023098</v>
      </c>
      <c r="G159" s="37"/>
      <c r="H159" s="34">
        <v>78521.702312295034</v>
      </c>
      <c r="I159" s="37"/>
      <c r="J159" s="38">
        <v>33823.700987915356</v>
      </c>
      <c r="K159" s="38">
        <v>7305.484035367358</v>
      </c>
      <c r="L159" s="38">
        <v>23566.53991324102</v>
      </c>
      <c r="M159" s="38">
        <v>16274.477596506691</v>
      </c>
      <c r="N159" s="38">
        <v>40883.820998759664</v>
      </c>
      <c r="O159" s="38">
        <v>14176.326237513224</v>
      </c>
      <c r="P159" s="38">
        <v>23053.118208982647</v>
      </c>
      <c r="Q159" s="38">
        <v>16158.221345491074</v>
      </c>
      <c r="R159" s="37"/>
      <c r="S159" s="34">
        <v>175241.68932377704</v>
      </c>
      <c r="T159" s="36"/>
      <c r="U159" s="35">
        <v>8466.5239284256513</v>
      </c>
      <c r="V159" s="34">
        <v>245296.86770764642</v>
      </c>
      <c r="W159" s="31">
        <v>18033.217765783644</v>
      </c>
      <c r="X159" s="31">
        <v>3907.6387998865398</v>
      </c>
      <c r="Y159" s="31">
        <v>10853.952120003276</v>
      </c>
      <c r="Z159" s="31">
        <v>32794.808685673459</v>
      </c>
      <c r="AA159" s="33">
        <v>278091.67639331985</v>
      </c>
      <c r="AB159" s="32"/>
      <c r="AC159" s="31"/>
      <c r="AD159" s="44"/>
      <c r="AE159" s="39"/>
      <c r="AG159" s="19"/>
      <c r="AH159" s="19"/>
      <c r="AI159" s="19"/>
      <c r="AJ159" s="19"/>
      <c r="AK159" s="19"/>
      <c r="AL159" s="19"/>
      <c r="AM159" s="19"/>
      <c r="AN159" s="19"/>
      <c r="AP159" s="19"/>
      <c r="AQ159" s="21"/>
      <c r="AR159" s="21"/>
      <c r="AS159" s="21"/>
      <c r="AT159" s="19"/>
      <c r="AU159" s="21"/>
      <c r="AV159" s="19"/>
      <c r="AW159" s="19"/>
      <c r="AZ159" s="19"/>
      <c r="BA159" s="19"/>
      <c r="BB159" s="19"/>
      <c r="BC159" s="19"/>
      <c r="BD159" s="19"/>
      <c r="BE159" s="19"/>
      <c r="BF159" s="19"/>
      <c r="BG159" s="19"/>
      <c r="BH159" s="19"/>
      <c r="BJ159" s="19"/>
      <c r="BK159" s="19"/>
      <c r="BL159" s="21"/>
      <c r="BM159" s="19"/>
      <c r="BN159" s="19"/>
      <c r="BO159" s="19"/>
      <c r="BP159" s="21"/>
      <c r="BQ159" s="19"/>
      <c r="BR159" s="19"/>
      <c r="BS159" s="19"/>
      <c r="BT159" s="20"/>
      <c r="BU159" s="19"/>
      <c r="BV159" s="19"/>
    </row>
    <row r="160" spans="1:74" ht="15" customHeight="1">
      <c r="A160" s="55"/>
      <c r="B160" s="60"/>
      <c r="C160" s="60"/>
      <c r="D160" s="60"/>
      <c r="E160" s="60"/>
      <c r="F160" s="60"/>
      <c r="G160" s="60"/>
      <c r="H160" s="59"/>
      <c r="I160" s="57"/>
      <c r="J160" s="60"/>
      <c r="K160" s="60"/>
      <c r="L160" s="60"/>
      <c r="M160" s="60"/>
      <c r="N160" s="60"/>
      <c r="O160" s="60"/>
      <c r="P160" s="60"/>
      <c r="Q160" s="60"/>
      <c r="R160" s="60"/>
      <c r="S160" s="59"/>
      <c r="T160" s="28"/>
      <c r="U160" s="60"/>
      <c r="V160" s="59"/>
      <c r="W160" s="58"/>
      <c r="X160" s="58"/>
      <c r="Y160" s="58"/>
      <c r="Z160" s="57"/>
      <c r="AA160" s="56"/>
      <c r="AB160" s="32"/>
      <c r="AC160" s="48"/>
      <c r="AD160" s="44"/>
      <c r="AE160" s="39"/>
      <c r="AG160" s="19"/>
      <c r="AH160" s="19"/>
      <c r="AI160" s="19"/>
      <c r="AJ160" s="19"/>
      <c r="AK160" s="19"/>
      <c r="AL160" s="19"/>
      <c r="AM160" s="19"/>
      <c r="AN160" s="19"/>
      <c r="AP160" s="19"/>
      <c r="AQ160" s="21"/>
      <c r="AR160" s="21"/>
      <c r="AS160" s="21"/>
      <c r="AT160" s="19"/>
      <c r="AU160" s="21"/>
      <c r="AV160" s="19"/>
      <c r="AW160" s="19"/>
      <c r="AZ160" s="19"/>
      <c r="BA160" s="19"/>
      <c r="BB160" s="19"/>
      <c r="BC160" s="19"/>
      <c r="BD160" s="19"/>
      <c r="BE160" s="19"/>
      <c r="BF160" s="19"/>
      <c r="BG160" s="19"/>
      <c r="BH160" s="19"/>
      <c r="BJ160" s="19"/>
      <c r="BK160" s="19"/>
      <c r="BL160" s="21"/>
      <c r="BM160" s="19"/>
      <c r="BN160" s="19"/>
      <c r="BO160" s="19"/>
      <c r="BP160" s="21"/>
      <c r="BQ160" s="19"/>
      <c r="BR160" s="19"/>
      <c r="BS160" s="19"/>
      <c r="BT160" s="20"/>
      <c r="BU160" s="19"/>
      <c r="BV160" s="19"/>
    </row>
    <row r="161" spans="1:74" ht="15" customHeight="1">
      <c r="A161" s="17"/>
      <c r="B161" s="65"/>
      <c r="C161" s="65"/>
      <c r="D161" s="65"/>
      <c r="E161" s="65"/>
      <c r="F161" s="65"/>
      <c r="G161" s="65"/>
      <c r="H161" s="63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3"/>
      <c r="U161" s="67"/>
      <c r="V161" s="63"/>
      <c r="W161" s="66"/>
      <c r="X161" s="66"/>
      <c r="Y161" s="66"/>
      <c r="Z161" s="65"/>
      <c r="AA161" s="64"/>
      <c r="AB161" s="32"/>
      <c r="AC161" s="48"/>
      <c r="AD161" s="44"/>
      <c r="AE161" s="39"/>
      <c r="AG161" s="19"/>
      <c r="AH161" s="19"/>
      <c r="AI161" s="19"/>
      <c r="AJ161" s="19"/>
      <c r="AK161" s="19"/>
      <c r="AL161" s="19"/>
      <c r="AM161" s="19"/>
      <c r="AN161" s="19"/>
      <c r="AP161" s="19"/>
      <c r="AQ161" s="21"/>
      <c r="AR161" s="21"/>
      <c r="AS161" s="21"/>
      <c r="AT161" s="19"/>
      <c r="AU161" s="21"/>
      <c r="AV161" s="19"/>
      <c r="AW161" s="19"/>
      <c r="AZ161" s="19"/>
      <c r="BA161" s="19"/>
      <c r="BB161" s="19"/>
      <c r="BC161" s="19"/>
      <c r="BD161" s="19"/>
      <c r="BE161" s="19"/>
      <c r="BF161" s="19"/>
      <c r="BG161" s="19"/>
      <c r="BH161" s="19"/>
      <c r="BJ161" s="19"/>
      <c r="BK161" s="19"/>
      <c r="BL161" s="21"/>
      <c r="BM161" s="19"/>
      <c r="BN161" s="19"/>
      <c r="BO161" s="19"/>
      <c r="BP161" s="21"/>
      <c r="BQ161" s="19"/>
      <c r="BR161" s="19"/>
      <c r="BS161" s="19"/>
      <c r="BT161" s="20"/>
      <c r="BU161" s="19"/>
      <c r="BV161" s="19"/>
    </row>
    <row r="162" spans="1:74" ht="15" customHeight="1">
      <c r="A162" s="17">
        <v>2001</v>
      </c>
      <c r="B162" s="34">
        <v>15076.727575418641</v>
      </c>
      <c r="C162" s="34">
        <v>5032.2809359152179</v>
      </c>
      <c r="D162" s="34">
        <v>35866.788238037298</v>
      </c>
      <c r="E162" s="34">
        <v>6971.6434291889373</v>
      </c>
      <c r="F162" s="34">
        <v>12500.16961108818</v>
      </c>
      <c r="G162" s="19"/>
      <c r="H162" s="34">
        <v>75447.609789648268</v>
      </c>
      <c r="I162" s="38"/>
      <c r="J162" s="34">
        <v>31375.468426049032</v>
      </c>
      <c r="K162" s="34">
        <v>6585.0428156494545</v>
      </c>
      <c r="L162" s="34">
        <v>21712.746058550991</v>
      </c>
      <c r="M162" s="34">
        <v>14936.015173083895</v>
      </c>
      <c r="N162" s="34">
        <v>39023.232055170905</v>
      </c>
      <c r="O162" s="34">
        <v>14044.335645271778</v>
      </c>
      <c r="P162" s="34">
        <v>22262.33480813176</v>
      </c>
      <c r="Q162" s="34">
        <v>15240.542040357321</v>
      </c>
      <c r="R162" s="34"/>
      <c r="S162" s="34">
        <v>165179.71702226513</v>
      </c>
      <c r="U162" s="42">
        <v>6947.4870426174975</v>
      </c>
      <c r="V162" s="34">
        <v>233679.83976929591</v>
      </c>
      <c r="W162" s="34">
        <v>16773.572000501452</v>
      </c>
      <c r="X162" s="34">
        <v>3171.0882102563619</v>
      </c>
      <c r="Y162" s="34">
        <v>10372.174386763501</v>
      </c>
      <c r="Z162" s="34">
        <v>30316.834597521312</v>
      </c>
      <c r="AA162" s="33">
        <v>263996.67436681723</v>
      </c>
      <c r="AB162" s="32"/>
      <c r="AC162" s="48"/>
      <c r="AD162" s="44"/>
      <c r="AE162" s="39"/>
      <c r="AG162" s="19"/>
      <c r="AH162" s="19"/>
      <c r="AI162" s="19"/>
      <c r="AJ162" s="19"/>
      <c r="AK162" s="19"/>
      <c r="AL162" s="19"/>
      <c r="AM162" s="19"/>
      <c r="AN162" s="19"/>
      <c r="AP162" s="19"/>
      <c r="AQ162" s="21"/>
      <c r="AR162" s="21"/>
      <c r="AS162" s="21"/>
      <c r="AT162" s="19"/>
      <c r="AU162" s="21"/>
      <c r="AV162" s="19"/>
      <c r="AW162" s="19"/>
      <c r="AZ162" s="19"/>
      <c r="BA162" s="19"/>
      <c r="BB162" s="19"/>
      <c r="BC162" s="19"/>
      <c r="BD162" s="19"/>
      <c r="BE162" s="19"/>
      <c r="BF162" s="19"/>
      <c r="BG162" s="19"/>
      <c r="BH162" s="19"/>
      <c r="BJ162" s="19"/>
      <c r="BK162" s="19"/>
      <c r="BL162" s="21"/>
      <c r="BM162" s="19"/>
      <c r="BN162" s="19"/>
      <c r="BO162" s="19"/>
      <c r="BP162" s="21"/>
      <c r="BQ162" s="19"/>
      <c r="BR162" s="19"/>
      <c r="BS162" s="19"/>
      <c r="BT162" s="20"/>
      <c r="BU162" s="19"/>
      <c r="BV162" s="19"/>
    </row>
    <row r="163" spans="1:74" ht="15" customHeight="1">
      <c r="A163" s="17" t="s">
        <v>26</v>
      </c>
      <c r="B163" s="38">
        <v>12961.833929263476</v>
      </c>
      <c r="C163" s="38">
        <v>4785.0630585401159</v>
      </c>
      <c r="D163" s="38">
        <v>35104.361044328725</v>
      </c>
      <c r="E163" s="38">
        <v>6605.6992766316034</v>
      </c>
      <c r="F163" s="38">
        <v>13070.162209547996</v>
      </c>
      <c r="G163" s="37"/>
      <c r="H163" s="34">
        <v>72527.119518311913</v>
      </c>
      <c r="I163" s="37"/>
      <c r="J163" s="38">
        <v>31762.474696172081</v>
      </c>
      <c r="K163" s="38">
        <v>7260.1810179280965</v>
      </c>
      <c r="L163" s="38">
        <v>21411.481346248002</v>
      </c>
      <c r="M163" s="38">
        <v>16489.156679257332</v>
      </c>
      <c r="N163" s="38">
        <v>38949.385550434301</v>
      </c>
      <c r="O163" s="38">
        <v>14079.214586606198</v>
      </c>
      <c r="P163" s="38">
        <v>18222.487561127858</v>
      </c>
      <c r="Q163" s="38">
        <v>14104.911816682947</v>
      </c>
      <c r="R163" s="37"/>
      <c r="S163" s="34">
        <v>162279.29325445683</v>
      </c>
      <c r="T163" s="36"/>
      <c r="U163" s="35">
        <v>7974.7623019545663</v>
      </c>
      <c r="V163" s="34">
        <v>226831.6504708142</v>
      </c>
      <c r="W163" s="31">
        <v>18282.694671213823</v>
      </c>
      <c r="X163" s="31">
        <v>3474.6354722734613</v>
      </c>
      <c r="Y163" s="31">
        <v>10610.893280020631</v>
      </c>
      <c r="Z163" s="31">
        <v>32368.223423507916</v>
      </c>
      <c r="AA163" s="33">
        <v>259199.87389432211</v>
      </c>
      <c r="AB163" s="32"/>
      <c r="AC163" s="31"/>
      <c r="AD163" s="44"/>
      <c r="AE163" s="39"/>
      <c r="AG163" s="19"/>
      <c r="AH163" s="19"/>
      <c r="AI163" s="19"/>
      <c r="AJ163" s="19"/>
      <c r="AK163" s="19"/>
      <c r="AL163" s="19"/>
      <c r="AM163" s="19"/>
      <c r="AN163" s="19"/>
      <c r="AP163" s="19"/>
      <c r="AQ163" s="21"/>
      <c r="AR163" s="21"/>
      <c r="AS163" s="21"/>
      <c r="AT163" s="19"/>
      <c r="AU163" s="21"/>
      <c r="AV163" s="19"/>
      <c r="AW163" s="19"/>
      <c r="AZ163" s="19"/>
      <c r="BA163" s="19"/>
      <c r="BB163" s="19"/>
      <c r="BC163" s="19"/>
      <c r="BD163" s="19"/>
      <c r="BE163" s="19"/>
      <c r="BF163" s="19"/>
      <c r="BG163" s="19"/>
      <c r="BH163" s="19"/>
      <c r="BJ163" s="19"/>
      <c r="BK163" s="19"/>
      <c r="BL163" s="21"/>
      <c r="BM163" s="19"/>
      <c r="BN163" s="19"/>
      <c r="BO163" s="19"/>
      <c r="BP163" s="21"/>
      <c r="BQ163" s="19"/>
      <c r="BR163" s="19"/>
      <c r="BS163" s="19"/>
      <c r="BT163" s="20"/>
      <c r="BU163" s="19"/>
      <c r="BV163" s="19"/>
    </row>
    <row r="164" spans="1:74" ht="15" customHeight="1">
      <c r="A164" s="17" t="s">
        <v>25</v>
      </c>
      <c r="B164" s="38">
        <v>22255.428900391293</v>
      </c>
      <c r="C164" s="38">
        <v>5175.7639826420855</v>
      </c>
      <c r="D164" s="38">
        <v>38195.600528493407</v>
      </c>
      <c r="E164" s="38">
        <v>7219.6362888194435</v>
      </c>
      <c r="F164" s="38">
        <v>13412.85799520886</v>
      </c>
      <c r="G164" s="37"/>
      <c r="H164" s="34">
        <v>86259.287695555089</v>
      </c>
      <c r="I164" s="37"/>
      <c r="J164" s="38">
        <v>35157.882715268337</v>
      </c>
      <c r="K164" s="38">
        <v>6617.3822901294352</v>
      </c>
      <c r="L164" s="38">
        <v>22471.450902376237</v>
      </c>
      <c r="M164" s="38">
        <v>16262.246910128877</v>
      </c>
      <c r="N164" s="38">
        <v>39614.77949893444</v>
      </c>
      <c r="O164" s="38">
        <v>14048.292781754188</v>
      </c>
      <c r="P164" s="38">
        <v>23937.309046891824</v>
      </c>
      <c r="Q164" s="38">
        <v>15976.737754226182</v>
      </c>
      <c r="R164" s="37"/>
      <c r="S164" s="34">
        <v>174086.08189970953</v>
      </c>
      <c r="T164" s="36"/>
      <c r="U164" s="35">
        <v>7664.3275459271736</v>
      </c>
      <c r="V164" s="34">
        <v>252681.04204933744</v>
      </c>
      <c r="W164" s="31">
        <v>17521.770262979866</v>
      </c>
      <c r="X164" s="31">
        <v>3539.1518723014901</v>
      </c>
      <c r="Y164" s="31">
        <v>11053.79876431119</v>
      </c>
      <c r="Z164" s="31">
        <v>32114.720899592547</v>
      </c>
      <c r="AA164" s="33">
        <v>284795.76294892997</v>
      </c>
      <c r="AB164" s="32"/>
      <c r="AC164" s="31"/>
      <c r="AD164" s="44"/>
      <c r="AE164" s="39"/>
      <c r="AG164" s="19"/>
      <c r="AH164" s="19"/>
      <c r="AI164" s="19"/>
      <c r="AJ164" s="19"/>
      <c r="AK164" s="19"/>
      <c r="AL164" s="19"/>
      <c r="AM164" s="19"/>
      <c r="AN164" s="19"/>
      <c r="AP164" s="19"/>
      <c r="AQ164" s="21"/>
      <c r="AR164" s="21"/>
      <c r="AS164" s="21"/>
      <c r="AT164" s="19"/>
      <c r="AU164" s="21"/>
      <c r="AV164" s="19"/>
      <c r="AW164" s="19"/>
      <c r="AZ164" s="19"/>
      <c r="BA164" s="19"/>
      <c r="BB164" s="19"/>
      <c r="BC164" s="19"/>
      <c r="BD164" s="19"/>
      <c r="BE164" s="19"/>
      <c r="BF164" s="19"/>
      <c r="BG164" s="19"/>
      <c r="BH164" s="19"/>
      <c r="BJ164" s="19"/>
      <c r="BK164" s="19"/>
      <c r="BL164" s="21"/>
      <c r="BM164" s="19"/>
      <c r="BN164" s="19"/>
      <c r="BO164" s="19"/>
      <c r="BP164" s="21"/>
      <c r="BQ164" s="19"/>
      <c r="BR164" s="19"/>
      <c r="BS164" s="19"/>
      <c r="BT164" s="20"/>
      <c r="BU164" s="19"/>
      <c r="BV164" s="19"/>
    </row>
    <row r="165" spans="1:74" ht="15" customHeight="1">
      <c r="A165" s="17" t="s">
        <v>24</v>
      </c>
      <c r="B165" s="38">
        <v>12885.96969791304</v>
      </c>
      <c r="C165" s="38">
        <v>5158.7769802301746</v>
      </c>
      <c r="D165" s="38">
        <v>36109.814252401302</v>
      </c>
      <c r="E165" s="38">
        <v>7450.150728614828</v>
      </c>
      <c r="F165" s="38">
        <v>12437.233327369271</v>
      </c>
      <c r="G165" s="37"/>
      <c r="H165" s="34">
        <v>74041.944986528615</v>
      </c>
      <c r="I165" s="37"/>
      <c r="J165" s="38">
        <v>30786.101104686517</v>
      </c>
      <c r="K165" s="38">
        <v>6269.7509645195514</v>
      </c>
      <c r="L165" s="38">
        <v>21656.039344285356</v>
      </c>
      <c r="M165" s="38">
        <v>14073.163348754391</v>
      </c>
      <c r="N165" s="38">
        <v>39066.812126479446</v>
      </c>
      <c r="O165" s="38">
        <v>14050.442911687627</v>
      </c>
      <c r="P165" s="38">
        <v>23809.805645685643</v>
      </c>
      <c r="Q165" s="38">
        <v>15485.578010466848</v>
      </c>
      <c r="R165" s="37"/>
      <c r="S165" s="34">
        <v>165197.69345656538</v>
      </c>
      <c r="T165" s="36"/>
      <c r="U165" s="35">
        <v>6493.5818342021075</v>
      </c>
      <c r="V165" s="34">
        <v>232746.05660889187</v>
      </c>
      <c r="W165" s="31">
        <v>16600.200526941197</v>
      </c>
      <c r="X165" s="31">
        <v>3259.2720817013005</v>
      </c>
      <c r="Y165" s="31">
        <v>10520.976183875573</v>
      </c>
      <c r="Z165" s="31">
        <v>30380.448792518069</v>
      </c>
      <c r="AA165" s="33">
        <v>263126.50540140993</v>
      </c>
      <c r="AB165" s="32"/>
      <c r="AC165" s="31"/>
      <c r="AD165" s="44"/>
      <c r="AE165" s="39"/>
      <c r="AG165" s="19"/>
      <c r="AH165" s="19"/>
      <c r="AI165" s="19"/>
      <c r="AJ165" s="19"/>
      <c r="AK165" s="19"/>
      <c r="AL165" s="19"/>
      <c r="AM165" s="19"/>
      <c r="AN165" s="19"/>
      <c r="AP165" s="19"/>
      <c r="AQ165" s="21"/>
      <c r="AR165" s="21"/>
      <c r="AS165" s="21"/>
      <c r="AT165" s="19"/>
      <c r="AU165" s="21"/>
      <c r="AV165" s="19"/>
      <c r="AW165" s="19"/>
      <c r="AZ165" s="19"/>
      <c r="BA165" s="19"/>
      <c r="BB165" s="19"/>
      <c r="BC165" s="19"/>
      <c r="BD165" s="19"/>
      <c r="BE165" s="19"/>
      <c r="BF165" s="19"/>
      <c r="BG165" s="19"/>
      <c r="BH165" s="19"/>
      <c r="BJ165" s="19"/>
      <c r="BK165" s="19"/>
      <c r="BL165" s="21"/>
      <c r="BM165" s="19"/>
      <c r="BN165" s="19"/>
      <c r="BO165" s="19"/>
      <c r="BP165" s="21"/>
      <c r="BQ165" s="19"/>
      <c r="BR165" s="19"/>
      <c r="BS165" s="19"/>
      <c r="BT165" s="20"/>
      <c r="BU165" s="19"/>
      <c r="BV165" s="19"/>
    </row>
    <row r="166" spans="1:74" ht="15" customHeight="1">
      <c r="A166" s="17" t="s">
        <v>23</v>
      </c>
      <c r="B166" s="38">
        <v>12203.67777410676</v>
      </c>
      <c r="C166" s="38">
        <v>5009.5197222484949</v>
      </c>
      <c r="D166" s="38">
        <v>34057.377126925763</v>
      </c>
      <c r="E166" s="38">
        <v>6611.0874226898741</v>
      </c>
      <c r="F166" s="38">
        <v>11080.424912226596</v>
      </c>
      <c r="G166" s="37"/>
      <c r="H166" s="34">
        <v>68962.086958197484</v>
      </c>
      <c r="I166" s="37"/>
      <c r="J166" s="38">
        <v>27795.415188069186</v>
      </c>
      <c r="K166" s="38">
        <v>6192.8569900207385</v>
      </c>
      <c r="L166" s="38">
        <v>21312.012641294365</v>
      </c>
      <c r="M166" s="38">
        <v>12919.49375419498</v>
      </c>
      <c r="N166" s="38">
        <v>38461.951044835427</v>
      </c>
      <c r="O166" s="38">
        <v>13999.392301039104</v>
      </c>
      <c r="P166" s="38">
        <v>23079.736978821726</v>
      </c>
      <c r="Q166" s="38">
        <v>15394.940580053306</v>
      </c>
      <c r="R166" s="37"/>
      <c r="S166" s="34">
        <v>159155.79947832884</v>
      </c>
      <c r="T166" s="36"/>
      <c r="U166" s="35">
        <v>5657.2764883861419</v>
      </c>
      <c r="V166" s="34">
        <v>222460.60994814016</v>
      </c>
      <c r="W166" s="31">
        <v>14689.622540870925</v>
      </c>
      <c r="X166" s="31">
        <v>2411.2934147491933</v>
      </c>
      <c r="Y166" s="31">
        <v>9303.0293188466057</v>
      </c>
      <c r="Z166" s="31">
        <v>26403.945274466725</v>
      </c>
      <c r="AA166" s="33">
        <v>248864.5552226069</v>
      </c>
      <c r="AB166" s="32"/>
      <c r="AC166" s="31"/>
      <c r="AD166" s="44"/>
      <c r="AE166" s="39"/>
      <c r="AG166" s="19"/>
      <c r="AH166" s="19"/>
      <c r="AI166" s="19"/>
      <c r="AJ166" s="19"/>
      <c r="AK166" s="19"/>
      <c r="AL166" s="19"/>
      <c r="AM166" s="19"/>
      <c r="AN166" s="19"/>
      <c r="AP166" s="19"/>
      <c r="AQ166" s="21"/>
      <c r="AR166" s="21"/>
      <c r="AS166" s="21"/>
      <c r="AT166" s="19"/>
      <c r="AU166" s="21"/>
      <c r="AV166" s="19"/>
      <c r="AW166" s="19"/>
      <c r="AZ166" s="19"/>
      <c r="BA166" s="19"/>
      <c r="BB166" s="19"/>
      <c r="BC166" s="19"/>
      <c r="BD166" s="19"/>
      <c r="BE166" s="19"/>
      <c r="BF166" s="19"/>
      <c r="BG166" s="19"/>
      <c r="BH166" s="19"/>
      <c r="BJ166" s="19"/>
      <c r="BK166" s="19"/>
      <c r="BL166" s="21"/>
      <c r="BM166" s="19"/>
      <c r="BN166" s="19"/>
      <c r="BO166" s="19"/>
      <c r="BP166" s="21"/>
      <c r="BQ166" s="19"/>
      <c r="BR166" s="19"/>
      <c r="BS166" s="19"/>
      <c r="BT166" s="20"/>
      <c r="BU166" s="19"/>
      <c r="BV166" s="19"/>
    </row>
    <row r="167" spans="1:74" ht="15" customHeight="1">
      <c r="A167" s="55"/>
      <c r="B167" s="60"/>
      <c r="C167" s="60"/>
      <c r="D167" s="60"/>
      <c r="E167" s="60"/>
      <c r="F167" s="60"/>
      <c r="G167" s="60"/>
      <c r="H167" s="62"/>
      <c r="I167" s="61"/>
      <c r="J167" s="60"/>
      <c r="K167" s="60"/>
      <c r="L167" s="60"/>
      <c r="M167" s="60"/>
      <c r="N167" s="60"/>
      <c r="O167" s="60"/>
      <c r="P167" s="60"/>
      <c r="Q167" s="60"/>
      <c r="R167" s="60"/>
      <c r="S167" s="59"/>
      <c r="T167" s="28"/>
      <c r="U167" s="60"/>
      <c r="V167" s="59"/>
      <c r="W167" s="58"/>
      <c r="X167" s="58"/>
      <c r="Y167" s="58"/>
      <c r="Z167" s="57"/>
      <c r="AA167" s="56"/>
      <c r="AB167" s="32"/>
      <c r="AC167" s="48"/>
      <c r="AD167" s="44"/>
      <c r="AE167" s="39"/>
      <c r="AG167" s="19"/>
      <c r="AH167" s="19"/>
      <c r="AI167" s="19"/>
      <c r="AJ167" s="19"/>
      <c r="AK167" s="19"/>
      <c r="AL167" s="19"/>
      <c r="AM167" s="19"/>
      <c r="AN167" s="19"/>
      <c r="AP167" s="19"/>
      <c r="AQ167" s="21"/>
      <c r="AR167" s="21"/>
      <c r="AS167" s="21"/>
      <c r="AT167" s="19"/>
      <c r="AU167" s="21"/>
      <c r="AV167" s="19"/>
      <c r="AW167" s="19"/>
      <c r="AZ167" s="19"/>
      <c r="BA167" s="19"/>
      <c r="BB167" s="19"/>
      <c r="BC167" s="19"/>
      <c r="BD167" s="19"/>
      <c r="BE167" s="19"/>
      <c r="BF167" s="19"/>
      <c r="BG167" s="19"/>
      <c r="BH167" s="19"/>
      <c r="BJ167" s="19"/>
      <c r="BK167" s="19"/>
      <c r="BL167" s="21"/>
      <c r="BM167" s="19"/>
      <c r="BN167" s="19"/>
      <c r="BO167" s="19"/>
      <c r="BP167" s="21"/>
      <c r="BQ167" s="19"/>
      <c r="BR167" s="19"/>
      <c r="BS167" s="19"/>
      <c r="BT167" s="20"/>
      <c r="BU167" s="19"/>
      <c r="BV167" s="19"/>
    </row>
    <row r="168" spans="1:74" ht="15" customHeight="1">
      <c r="A168" s="17"/>
      <c r="B168" s="67"/>
      <c r="C168" s="67"/>
      <c r="D168" s="67"/>
      <c r="E168" s="67"/>
      <c r="F168" s="67"/>
      <c r="G168" s="67"/>
      <c r="H168" s="34"/>
      <c r="I168" s="38"/>
      <c r="J168" s="67"/>
      <c r="K168" s="67"/>
      <c r="L168" s="67"/>
      <c r="M168" s="67"/>
      <c r="N168" s="67"/>
      <c r="O168" s="67"/>
      <c r="P168" s="67"/>
      <c r="Q168" s="67"/>
      <c r="R168" s="67"/>
      <c r="S168" s="63"/>
      <c r="U168" s="67"/>
      <c r="V168" s="63"/>
      <c r="W168" s="66"/>
      <c r="X168" s="66"/>
      <c r="Y168" s="66"/>
      <c r="Z168" s="65"/>
      <c r="AA168" s="64"/>
      <c r="AB168" s="32"/>
      <c r="AC168" s="48"/>
      <c r="AD168" s="44"/>
      <c r="AE168" s="39"/>
      <c r="AG168" s="19"/>
      <c r="AH168" s="19"/>
      <c r="AI168" s="19"/>
      <c r="AJ168" s="19"/>
      <c r="AK168" s="19"/>
      <c r="AL168" s="19"/>
      <c r="AM168" s="19"/>
      <c r="AN168" s="19"/>
      <c r="AP168" s="19"/>
      <c r="AQ168" s="21"/>
      <c r="AR168" s="21"/>
      <c r="AS168" s="21"/>
      <c r="AT168" s="19"/>
      <c r="AU168" s="21"/>
      <c r="AV168" s="19"/>
      <c r="AW168" s="19"/>
      <c r="AZ168" s="19"/>
      <c r="BA168" s="19"/>
      <c r="BB168" s="19"/>
      <c r="BC168" s="19"/>
      <c r="BD168" s="19"/>
      <c r="BE168" s="19"/>
      <c r="BF168" s="19"/>
      <c r="BG168" s="19"/>
      <c r="BH168" s="19"/>
      <c r="BJ168" s="19"/>
      <c r="BK168" s="19"/>
      <c r="BL168" s="21"/>
      <c r="BM168" s="19"/>
      <c r="BN168" s="19"/>
      <c r="BO168" s="19"/>
      <c r="BP168" s="21"/>
      <c r="BQ168" s="19"/>
      <c r="BR168" s="19"/>
      <c r="BS168" s="19"/>
      <c r="BT168" s="20"/>
      <c r="BU168" s="19"/>
      <c r="BV168" s="19"/>
    </row>
    <row r="169" spans="1:74" ht="15" customHeight="1">
      <c r="A169" s="17">
        <v>2002</v>
      </c>
      <c r="B169" s="34">
        <v>14732.545856698671</v>
      </c>
      <c r="C169" s="34">
        <v>4843.9146807729976</v>
      </c>
      <c r="D169" s="34">
        <v>31955.118834832087</v>
      </c>
      <c r="E169" s="34">
        <v>6761.4040875607825</v>
      </c>
      <c r="F169" s="34">
        <v>8322.0244449681304</v>
      </c>
      <c r="G169" s="63"/>
      <c r="H169" s="34">
        <v>66615.007904832673</v>
      </c>
      <c r="I169" s="63"/>
      <c r="J169" s="34">
        <v>25580.501035092697</v>
      </c>
      <c r="K169" s="34">
        <v>6039.550783278255</v>
      </c>
      <c r="L169" s="34">
        <v>19989.565598273133</v>
      </c>
      <c r="M169" s="34">
        <v>11990.245306200859</v>
      </c>
      <c r="N169" s="34">
        <v>36843.702359128081</v>
      </c>
      <c r="O169" s="34">
        <v>13917.587665478579</v>
      </c>
      <c r="P169" s="34">
        <v>22193.998368813776</v>
      </c>
      <c r="Q169" s="34">
        <v>13736.539936246052</v>
      </c>
      <c r="R169" s="34"/>
      <c r="S169" s="34">
        <v>150291.69105251145</v>
      </c>
      <c r="T169" s="17"/>
      <c r="U169" s="42">
        <v>4668.3641416500486</v>
      </c>
      <c r="V169" s="34">
        <v>212238.33481569405</v>
      </c>
      <c r="W169" s="34">
        <v>12500.835364067167</v>
      </c>
      <c r="X169" s="34">
        <v>1417.4274775278689</v>
      </c>
      <c r="Y169" s="34">
        <v>9078.9990956179008</v>
      </c>
      <c r="Z169" s="34">
        <v>22997.261937212934</v>
      </c>
      <c r="AA169" s="33">
        <v>235235.59675290697</v>
      </c>
      <c r="AB169" s="32"/>
      <c r="AC169" s="48"/>
      <c r="AD169" s="44"/>
      <c r="AE169" s="39"/>
      <c r="AG169" s="19"/>
      <c r="AH169" s="19"/>
      <c r="AI169" s="19"/>
      <c r="AJ169" s="19"/>
      <c r="AK169" s="19"/>
      <c r="AL169" s="19"/>
      <c r="AM169" s="19"/>
      <c r="AN169" s="19"/>
      <c r="AP169" s="19"/>
      <c r="AQ169" s="21"/>
      <c r="AR169" s="21"/>
      <c r="AS169" s="21"/>
      <c r="AT169" s="19"/>
      <c r="AU169" s="21"/>
      <c r="AV169" s="19"/>
      <c r="AW169" s="19"/>
      <c r="AZ169" s="19"/>
      <c r="BA169" s="19"/>
      <c r="BB169" s="19"/>
      <c r="BC169" s="19"/>
      <c r="BD169" s="19"/>
      <c r="BE169" s="19"/>
      <c r="BF169" s="19"/>
      <c r="BG169" s="19"/>
      <c r="BH169" s="19"/>
      <c r="BJ169" s="19"/>
      <c r="BK169" s="19"/>
      <c r="BL169" s="21"/>
      <c r="BM169" s="19"/>
      <c r="BN169" s="19"/>
      <c r="BO169" s="19"/>
      <c r="BP169" s="21"/>
      <c r="BQ169" s="19"/>
      <c r="BR169" s="19"/>
      <c r="BS169" s="19"/>
      <c r="BT169" s="20"/>
      <c r="BU169" s="19"/>
      <c r="BV169" s="19"/>
    </row>
    <row r="170" spans="1:74" ht="15" customHeight="1">
      <c r="A170" s="17" t="s">
        <v>26</v>
      </c>
      <c r="B170" s="38">
        <v>12386.108809401547</v>
      </c>
      <c r="C170" s="38">
        <v>4760.093071654419</v>
      </c>
      <c r="D170" s="38">
        <v>27358.755930311181</v>
      </c>
      <c r="E170" s="38">
        <v>6244.9363049247331</v>
      </c>
      <c r="F170" s="38">
        <v>7707.1352731318275</v>
      </c>
      <c r="G170" s="37"/>
      <c r="H170" s="34">
        <v>58457.029389423704</v>
      </c>
      <c r="I170" s="37"/>
      <c r="J170" s="38">
        <v>23656.04740780254</v>
      </c>
      <c r="K170" s="38">
        <v>6103.5214538099244</v>
      </c>
      <c r="L170" s="38">
        <v>18751.325411347043</v>
      </c>
      <c r="M170" s="38">
        <v>12503.787032050104</v>
      </c>
      <c r="N170" s="38">
        <v>35589.37254384657</v>
      </c>
      <c r="O170" s="38">
        <v>13780.029952786492</v>
      </c>
      <c r="P170" s="38">
        <v>18098.004767388324</v>
      </c>
      <c r="Q170" s="38">
        <v>12618.225300999209</v>
      </c>
      <c r="R170" s="37"/>
      <c r="S170" s="34">
        <v>141100.31387003019</v>
      </c>
      <c r="T170" s="36"/>
      <c r="U170" s="35">
        <v>5240.0805920929997</v>
      </c>
      <c r="V170" s="34">
        <v>194317.26266736089</v>
      </c>
      <c r="W170" s="31">
        <v>12772.290497309978</v>
      </c>
      <c r="X170" s="31">
        <v>1265.4246753752673</v>
      </c>
      <c r="Y170" s="31">
        <v>8494.5171288955771</v>
      </c>
      <c r="Z170" s="31">
        <v>22532.232301580822</v>
      </c>
      <c r="AA170" s="33">
        <v>216849.49496894173</v>
      </c>
      <c r="AB170" s="32"/>
      <c r="AC170" s="31"/>
      <c r="AD170" s="44"/>
      <c r="AE170" s="39"/>
      <c r="AG170" s="19"/>
      <c r="AH170" s="19"/>
      <c r="AI170" s="19"/>
      <c r="AJ170" s="19"/>
      <c r="AK170" s="19"/>
      <c r="AL170" s="19"/>
      <c r="AM170" s="19"/>
      <c r="AN170" s="19"/>
      <c r="AP170" s="19"/>
      <c r="AQ170" s="21"/>
      <c r="AR170" s="21"/>
      <c r="AS170" s="21"/>
      <c r="AT170" s="19"/>
      <c r="AU170" s="21"/>
      <c r="AV170" s="19"/>
      <c r="AW170" s="19"/>
      <c r="AZ170" s="19"/>
      <c r="BA170" s="19"/>
      <c r="BB170" s="19"/>
      <c r="BC170" s="19"/>
      <c r="BD170" s="19"/>
      <c r="BE170" s="19"/>
      <c r="BF170" s="19"/>
      <c r="BG170" s="19"/>
      <c r="BH170" s="19"/>
      <c r="BJ170" s="19"/>
      <c r="BK170" s="19"/>
      <c r="BL170" s="21"/>
      <c r="BM170" s="19"/>
      <c r="BN170" s="19"/>
      <c r="BO170" s="19"/>
      <c r="BP170" s="21"/>
      <c r="BQ170" s="19"/>
      <c r="BR170" s="19"/>
      <c r="BS170" s="19"/>
      <c r="BT170" s="20"/>
      <c r="BU170" s="19"/>
      <c r="BV170" s="19"/>
    </row>
    <row r="171" spans="1:74" ht="15" customHeight="1">
      <c r="A171" s="17" t="s">
        <v>25</v>
      </c>
      <c r="B171" s="38">
        <v>23210.371363425707</v>
      </c>
      <c r="C171" s="38">
        <v>5008.614346612414</v>
      </c>
      <c r="D171" s="38">
        <v>31848.921445771251</v>
      </c>
      <c r="E171" s="38">
        <v>6850.9895447646895</v>
      </c>
      <c r="F171" s="38">
        <v>7914.7216535989428</v>
      </c>
      <c r="G171" s="37"/>
      <c r="H171" s="34">
        <v>74833.618354172999</v>
      </c>
      <c r="I171" s="37"/>
      <c r="J171" s="38">
        <v>27217.63727844286</v>
      </c>
      <c r="K171" s="38">
        <v>5761.2055090254698</v>
      </c>
      <c r="L171" s="38">
        <v>20480.088639574224</v>
      </c>
      <c r="M171" s="38">
        <v>12623.21546723485</v>
      </c>
      <c r="N171" s="38">
        <v>36477.219563900551</v>
      </c>
      <c r="O171" s="38">
        <v>13752.166538494974</v>
      </c>
      <c r="P171" s="38">
        <v>23799.781160536382</v>
      </c>
      <c r="Q171" s="38">
        <v>14160.936534552806</v>
      </c>
      <c r="R171" s="37"/>
      <c r="S171" s="34">
        <v>154272.25069176211</v>
      </c>
      <c r="T171" s="36"/>
      <c r="U171" s="35">
        <v>5319.0433168734589</v>
      </c>
      <c r="V171" s="34">
        <v>223786.82572906165</v>
      </c>
      <c r="W171" s="31">
        <v>11914.80377882631</v>
      </c>
      <c r="X171" s="31">
        <v>1380.222601055654</v>
      </c>
      <c r="Y171" s="31">
        <v>9232.7810817185473</v>
      </c>
      <c r="Z171" s="31">
        <v>22527.807461600511</v>
      </c>
      <c r="AA171" s="33">
        <v>246314.63319066216</v>
      </c>
      <c r="AB171" s="32"/>
      <c r="AC171" s="31"/>
      <c r="AD171" s="44"/>
      <c r="AE171" s="39"/>
      <c r="AG171" s="19"/>
      <c r="AH171" s="19"/>
      <c r="AI171" s="19"/>
      <c r="AJ171" s="19"/>
      <c r="AK171" s="19"/>
      <c r="AL171" s="19"/>
      <c r="AM171" s="19"/>
      <c r="AN171" s="19"/>
      <c r="AP171" s="19"/>
      <c r="AQ171" s="21"/>
      <c r="AR171" s="21"/>
      <c r="AS171" s="21"/>
      <c r="AT171" s="19"/>
      <c r="AU171" s="21"/>
      <c r="AV171" s="19"/>
      <c r="AW171" s="19"/>
      <c r="AZ171" s="19"/>
      <c r="BA171" s="19"/>
      <c r="BB171" s="19"/>
      <c r="BC171" s="19"/>
      <c r="BD171" s="19"/>
      <c r="BE171" s="19"/>
      <c r="BF171" s="19"/>
      <c r="BG171" s="19"/>
      <c r="BH171" s="19"/>
      <c r="BJ171" s="19"/>
      <c r="BK171" s="19"/>
      <c r="BL171" s="21"/>
      <c r="BM171" s="19"/>
      <c r="BN171" s="19"/>
      <c r="BO171" s="19"/>
      <c r="BP171" s="21"/>
      <c r="BQ171" s="19"/>
      <c r="BR171" s="19"/>
      <c r="BS171" s="19"/>
      <c r="BT171" s="20"/>
      <c r="BU171" s="19"/>
      <c r="BV171" s="19"/>
    </row>
    <row r="172" spans="1:74" ht="15" customHeight="1">
      <c r="A172" s="17" t="s">
        <v>24</v>
      </c>
      <c r="B172" s="38">
        <v>12115.382933860501</v>
      </c>
      <c r="C172" s="38">
        <v>4843.4232569937076</v>
      </c>
      <c r="D172" s="38">
        <v>33723.584348542419</v>
      </c>
      <c r="E172" s="38">
        <v>7243.0798030294454</v>
      </c>
      <c r="F172" s="38">
        <v>8398.4458709716146</v>
      </c>
      <c r="G172" s="37"/>
      <c r="H172" s="34">
        <v>66323.916213397693</v>
      </c>
      <c r="I172" s="37"/>
      <c r="J172" s="38">
        <v>25259.638252797053</v>
      </c>
      <c r="K172" s="38">
        <v>5968.04656986802</v>
      </c>
      <c r="L172" s="38">
        <v>19951.99167631934</v>
      </c>
      <c r="M172" s="38">
        <v>11857.106465578992</v>
      </c>
      <c r="N172" s="38">
        <v>37412.522060020856</v>
      </c>
      <c r="O172" s="38">
        <v>14099.412483639318</v>
      </c>
      <c r="P172" s="38">
        <v>23766.439454349354</v>
      </c>
      <c r="Q172" s="38">
        <v>13937.985093413407</v>
      </c>
      <c r="R172" s="37"/>
      <c r="S172" s="34">
        <v>152253.14205598636</v>
      </c>
      <c r="T172" s="36"/>
      <c r="U172" s="35">
        <v>4155.8923738893491</v>
      </c>
      <c r="V172" s="34">
        <v>214421.16589549472</v>
      </c>
      <c r="W172" s="31">
        <v>12067.266770052</v>
      </c>
      <c r="X172" s="31">
        <v>1430.431635268023</v>
      </c>
      <c r="Y172" s="31">
        <v>9498.0024540290415</v>
      </c>
      <c r="Z172" s="31">
        <v>22995.700859349065</v>
      </c>
      <c r="AA172" s="33">
        <v>237416.8667548438</v>
      </c>
      <c r="AB172" s="32"/>
      <c r="AC172" s="31"/>
      <c r="AD172" s="44"/>
      <c r="AE172" s="39"/>
      <c r="AG172" s="19"/>
      <c r="AH172" s="19"/>
      <c r="AI172" s="19"/>
      <c r="AJ172" s="19"/>
      <c r="AK172" s="19"/>
      <c r="AL172" s="19"/>
      <c r="AM172" s="19"/>
      <c r="AN172" s="19"/>
      <c r="AP172" s="19"/>
      <c r="AQ172" s="21"/>
      <c r="AR172" s="21"/>
      <c r="AS172" s="21"/>
      <c r="AT172" s="19"/>
      <c r="AU172" s="21"/>
      <c r="AV172" s="19"/>
      <c r="AW172" s="19"/>
      <c r="AZ172" s="19"/>
      <c r="BA172" s="19"/>
      <c r="BB172" s="19"/>
      <c r="BC172" s="19"/>
      <c r="BD172" s="19"/>
      <c r="BE172" s="19"/>
      <c r="BF172" s="19"/>
      <c r="BG172" s="19"/>
      <c r="BH172" s="19"/>
      <c r="BJ172" s="19"/>
      <c r="BK172" s="19"/>
      <c r="BL172" s="21"/>
      <c r="BM172" s="19"/>
      <c r="BN172" s="19"/>
      <c r="BO172" s="19"/>
      <c r="BP172" s="21"/>
      <c r="BQ172" s="19"/>
      <c r="BR172" s="19"/>
      <c r="BS172" s="19"/>
      <c r="BT172" s="20"/>
      <c r="BU172" s="19"/>
      <c r="BV172" s="19"/>
    </row>
    <row r="173" spans="1:74" ht="15" customHeight="1">
      <c r="A173" s="17" t="s">
        <v>23</v>
      </c>
      <c r="B173" s="38">
        <v>11218.32032010693</v>
      </c>
      <c r="C173" s="38">
        <v>4763.5280478314507</v>
      </c>
      <c r="D173" s="38">
        <v>34889.213614703505</v>
      </c>
      <c r="E173" s="38">
        <v>6706.6106975242637</v>
      </c>
      <c r="F173" s="38">
        <v>9267.7949821701386</v>
      </c>
      <c r="G173" s="37"/>
      <c r="H173" s="34">
        <v>66845.46766233629</v>
      </c>
      <c r="I173" s="37"/>
      <c r="J173" s="38">
        <v>26188.681201328331</v>
      </c>
      <c r="K173" s="38">
        <v>6325.4296004096077</v>
      </c>
      <c r="L173" s="38">
        <v>20774.856665851923</v>
      </c>
      <c r="M173" s="38">
        <v>10976.872259939491</v>
      </c>
      <c r="N173" s="38">
        <v>37895.695268744341</v>
      </c>
      <c r="O173" s="38">
        <v>14038.741686993531</v>
      </c>
      <c r="P173" s="38">
        <v>23111.768092981045</v>
      </c>
      <c r="Q173" s="38">
        <v>14229.012816018792</v>
      </c>
      <c r="R173" s="37"/>
      <c r="S173" s="34">
        <v>153541.05759226708</v>
      </c>
      <c r="T173" s="36"/>
      <c r="U173" s="35">
        <v>3958.4402837443868</v>
      </c>
      <c r="V173" s="34">
        <v>216428.08497085897</v>
      </c>
      <c r="W173" s="31">
        <v>13248.980410080378</v>
      </c>
      <c r="X173" s="31">
        <v>1593.6309984125312</v>
      </c>
      <c r="Y173" s="31">
        <v>9090.6957178284338</v>
      </c>
      <c r="Z173" s="31">
        <v>23933.307126321342</v>
      </c>
      <c r="AA173" s="33">
        <v>240361.3920971803</v>
      </c>
      <c r="AB173" s="32"/>
      <c r="AC173" s="31"/>
      <c r="AD173" s="44"/>
      <c r="AE173" s="39"/>
      <c r="AG173" s="19"/>
      <c r="AH173" s="19"/>
      <c r="AI173" s="19"/>
      <c r="AJ173" s="19"/>
      <c r="AK173" s="19"/>
      <c r="AL173" s="19"/>
      <c r="AM173" s="19"/>
      <c r="AN173" s="19"/>
      <c r="AP173" s="19"/>
      <c r="AQ173" s="21"/>
      <c r="AR173" s="21"/>
      <c r="AS173" s="21"/>
      <c r="AT173" s="19"/>
      <c r="AU173" s="21"/>
      <c r="AV173" s="19"/>
      <c r="AW173" s="19"/>
      <c r="AZ173" s="19"/>
      <c r="BA173" s="19"/>
      <c r="BB173" s="19"/>
      <c r="BC173" s="19"/>
      <c r="BD173" s="19"/>
      <c r="BE173" s="19"/>
      <c r="BF173" s="19"/>
      <c r="BG173" s="19"/>
      <c r="BH173" s="19"/>
      <c r="BJ173" s="19"/>
      <c r="BK173" s="19"/>
      <c r="BL173" s="21"/>
      <c r="BM173" s="19"/>
      <c r="BN173" s="19"/>
      <c r="BO173" s="19"/>
      <c r="BP173" s="21"/>
      <c r="BQ173" s="19"/>
      <c r="BR173" s="19"/>
      <c r="BS173" s="19"/>
      <c r="BT173" s="20"/>
      <c r="BU173" s="19"/>
      <c r="BV173" s="19"/>
    </row>
    <row r="174" spans="1:74" ht="15" customHeight="1">
      <c r="A174" s="55"/>
      <c r="B174" s="60"/>
      <c r="C174" s="60"/>
      <c r="D174" s="60"/>
      <c r="E174" s="60"/>
      <c r="F174" s="60"/>
      <c r="G174" s="60"/>
      <c r="H174" s="62"/>
      <c r="I174" s="61"/>
      <c r="J174" s="60"/>
      <c r="K174" s="60"/>
      <c r="L174" s="60"/>
      <c r="M174" s="60"/>
      <c r="N174" s="60"/>
      <c r="O174" s="60"/>
      <c r="P174" s="60"/>
      <c r="Q174" s="60"/>
      <c r="R174" s="60"/>
      <c r="S174" s="59"/>
      <c r="T174" s="28"/>
      <c r="U174" s="60"/>
      <c r="V174" s="59"/>
      <c r="W174" s="58"/>
      <c r="X174" s="58"/>
      <c r="Y174" s="58"/>
      <c r="Z174" s="57"/>
      <c r="AA174" s="56"/>
      <c r="AB174" s="32"/>
      <c r="AC174" s="48"/>
      <c r="AD174" s="44"/>
      <c r="AE174" s="39"/>
      <c r="AG174" s="19"/>
      <c r="AH174" s="19"/>
      <c r="AI174" s="19"/>
      <c r="AJ174" s="19"/>
      <c r="AK174" s="19"/>
      <c r="AL174" s="19"/>
      <c r="AM174" s="19"/>
      <c r="AN174" s="19"/>
      <c r="AP174" s="19"/>
      <c r="AQ174" s="21"/>
      <c r="AR174" s="21"/>
      <c r="AS174" s="21"/>
      <c r="AT174" s="19"/>
      <c r="AU174" s="21"/>
      <c r="AV174" s="19"/>
      <c r="AW174" s="19"/>
      <c r="AZ174" s="19"/>
      <c r="BA174" s="19"/>
      <c r="BB174" s="19"/>
      <c r="BC174" s="19"/>
      <c r="BD174" s="19"/>
      <c r="BE174" s="19"/>
      <c r="BF174" s="19"/>
      <c r="BG174" s="19"/>
      <c r="BH174" s="19"/>
      <c r="BJ174" s="19"/>
      <c r="BK174" s="19"/>
      <c r="BL174" s="21"/>
      <c r="BM174" s="19"/>
      <c r="BN174" s="19"/>
      <c r="BO174" s="19"/>
      <c r="BP174" s="21"/>
      <c r="BQ174" s="19"/>
      <c r="BR174" s="19"/>
      <c r="BS174" s="19"/>
      <c r="BT174" s="20"/>
      <c r="BU174" s="19"/>
      <c r="BV174" s="19"/>
    </row>
    <row r="175" spans="1:74" ht="15" customHeight="1">
      <c r="A175" s="17"/>
      <c r="H175" s="46"/>
      <c r="J175" s="14"/>
      <c r="K175" s="14"/>
      <c r="L175" s="14"/>
      <c r="M175" s="14"/>
      <c r="N175" s="14"/>
      <c r="O175" s="14"/>
      <c r="P175" s="14"/>
      <c r="Q175" s="14"/>
      <c r="R175" s="14"/>
      <c r="S175" s="46"/>
      <c r="U175" s="51"/>
      <c r="V175" s="46"/>
      <c r="W175" s="50"/>
      <c r="X175" s="50"/>
      <c r="Y175" s="50"/>
      <c r="AA175" s="49"/>
      <c r="AB175" s="32"/>
      <c r="AC175" s="48"/>
      <c r="AD175" s="44"/>
      <c r="AE175" s="39"/>
      <c r="AG175" s="19"/>
      <c r="AH175" s="19"/>
      <c r="AI175" s="19"/>
      <c r="AJ175" s="19"/>
      <c r="AK175" s="19"/>
      <c r="AL175" s="19"/>
      <c r="AM175" s="19"/>
      <c r="AN175" s="19"/>
      <c r="AP175" s="19"/>
      <c r="AQ175" s="21"/>
      <c r="AR175" s="21"/>
      <c r="AS175" s="21"/>
      <c r="AT175" s="19"/>
      <c r="AU175" s="21"/>
      <c r="AV175" s="19"/>
      <c r="AW175" s="19"/>
      <c r="AZ175" s="19"/>
      <c r="BA175" s="19"/>
      <c r="BB175" s="19"/>
      <c r="BC175" s="19"/>
      <c r="BD175" s="19"/>
      <c r="BE175" s="19"/>
      <c r="BF175" s="19"/>
      <c r="BG175" s="19"/>
      <c r="BH175" s="19"/>
      <c r="BJ175" s="19"/>
      <c r="BK175" s="19"/>
      <c r="BL175" s="21"/>
      <c r="BM175" s="19"/>
      <c r="BN175" s="19"/>
      <c r="BO175" s="19"/>
      <c r="BP175" s="21"/>
      <c r="BQ175" s="19"/>
      <c r="BR175" s="19"/>
      <c r="BS175" s="19"/>
      <c r="BT175" s="20"/>
      <c r="BU175" s="19"/>
      <c r="BV175" s="19"/>
    </row>
    <row r="176" spans="1:74" ht="15" customHeight="1">
      <c r="A176" s="17">
        <v>2003</v>
      </c>
      <c r="B176" s="34">
        <v>15745.315608061259</v>
      </c>
      <c r="C176" s="34">
        <v>5024.3353139031969</v>
      </c>
      <c r="D176" s="34">
        <v>37058.100447212884</v>
      </c>
      <c r="E176" s="34">
        <v>7232.1466207959456</v>
      </c>
      <c r="F176" s="34">
        <v>11180.211347703847</v>
      </c>
      <c r="G176" s="19"/>
      <c r="H176" s="34">
        <v>76240.109337677131</v>
      </c>
      <c r="I176" s="19"/>
      <c r="J176" s="34">
        <v>29150.893395602008</v>
      </c>
      <c r="K176" s="34">
        <v>6402.0925802900174</v>
      </c>
      <c r="L176" s="34">
        <v>21633.18747593835</v>
      </c>
      <c r="M176" s="34">
        <v>10101.695718495619</v>
      </c>
      <c r="N176" s="34">
        <v>38292.602126064885</v>
      </c>
      <c r="O176" s="34">
        <v>14071.821392810514</v>
      </c>
      <c r="P176" s="34">
        <v>22802.57741730085</v>
      </c>
      <c r="Q176" s="34">
        <v>14368.260255239904</v>
      </c>
      <c r="R176" s="34"/>
      <c r="S176" s="34">
        <v>156823.13036174214</v>
      </c>
      <c r="T176" s="17"/>
      <c r="U176" s="42">
        <v>3029.3921828792954</v>
      </c>
      <c r="V176" s="34">
        <v>230033.84751653997</v>
      </c>
      <c r="W176" s="34">
        <v>14051.832301306305</v>
      </c>
      <c r="X176" s="34">
        <v>2171.417700113328</v>
      </c>
      <c r="Y176" s="34">
        <v>9766.3648571813901</v>
      </c>
      <c r="Z176" s="34">
        <v>25989.614858601024</v>
      </c>
      <c r="AA176" s="33">
        <v>256023.46237514098</v>
      </c>
      <c r="AB176" s="32"/>
      <c r="AC176" s="48"/>
      <c r="AD176" s="44"/>
      <c r="AE176" s="39"/>
      <c r="AG176" s="19"/>
      <c r="AH176" s="19"/>
      <c r="AI176" s="19"/>
      <c r="AJ176" s="19"/>
      <c r="AK176" s="19"/>
      <c r="AL176" s="19"/>
      <c r="AM176" s="19"/>
      <c r="AN176" s="19"/>
      <c r="AP176" s="19"/>
      <c r="AQ176" s="21"/>
      <c r="AR176" s="21"/>
      <c r="AS176" s="21"/>
      <c r="AT176" s="19"/>
      <c r="AU176" s="21"/>
      <c r="AV176" s="19"/>
      <c r="AW176" s="19"/>
      <c r="AZ176" s="19"/>
      <c r="BA176" s="19"/>
      <c r="BB176" s="19"/>
      <c r="BC176" s="19"/>
      <c r="BD176" s="19"/>
      <c r="BE176" s="19"/>
      <c r="BF176" s="19"/>
      <c r="BG176" s="19"/>
      <c r="BH176" s="19"/>
      <c r="BJ176" s="19"/>
      <c r="BK176" s="19"/>
      <c r="BL176" s="21"/>
      <c r="BM176" s="19"/>
      <c r="BN176" s="19"/>
      <c r="BO176" s="19"/>
      <c r="BP176" s="21"/>
      <c r="BQ176" s="19"/>
      <c r="BR176" s="19"/>
      <c r="BS176" s="19"/>
      <c r="BT176" s="20"/>
      <c r="BU176" s="19"/>
      <c r="BV176" s="19"/>
    </row>
    <row r="177" spans="1:74" ht="15" customHeight="1">
      <c r="A177" s="17" t="s">
        <v>26</v>
      </c>
      <c r="B177" s="38">
        <v>11952.452281414537</v>
      </c>
      <c r="C177" s="38">
        <v>4784.5800257989104</v>
      </c>
      <c r="D177" s="38">
        <v>32392.793874433097</v>
      </c>
      <c r="E177" s="38">
        <v>6574.4787535335645</v>
      </c>
      <c r="F177" s="38">
        <v>8957.1208272492368</v>
      </c>
      <c r="G177" s="37"/>
      <c r="H177" s="34">
        <v>64661.425762429346</v>
      </c>
      <c r="I177" s="37"/>
      <c r="J177" s="38">
        <v>25392.19969002634</v>
      </c>
      <c r="K177" s="38">
        <v>6779.7768002301691</v>
      </c>
      <c r="L177" s="38">
        <v>19297.380367903723</v>
      </c>
      <c r="M177" s="38">
        <v>10561.220478330424</v>
      </c>
      <c r="N177" s="38">
        <v>36387.805686328153</v>
      </c>
      <c r="O177" s="38">
        <v>13808.532548807832</v>
      </c>
      <c r="P177" s="38">
        <v>18361.532272289252</v>
      </c>
      <c r="Q177" s="38">
        <v>12448.063735300788</v>
      </c>
      <c r="R177" s="37"/>
      <c r="S177" s="34">
        <v>143036.51157921669</v>
      </c>
      <c r="T177" s="36"/>
      <c r="U177" s="35">
        <v>3604.7895380323212</v>
      </c>
      <c r="V177" s="34">
        <v>204093.14780361371</v>
      </c>
      <c r="W177" s="31">
        <v>13644.79976319685</v>
      </c>
      <c r="X177" s="31">
        <v>1582.3549933458423</v>
      </c>
      <c r="Y177" s="31">
        <v>9275.5798592680912</v>
      </c>
      <c r="Z177" s="31">
        <v>24502.734615810783</v>
      </c>
      <c r="AA177" s="33">
        <v>228595.88241942448</v>
      </c>
      <c r="AB177" s="32"/>
      <c r="AC177" s="31"/>
      <c r="AD177" s="44"/>
      <c r="AE177" s="39"/>
      <c r="AG177" s="19"/>
      <c r="AH177" s="19"/>
      <c r="AI177" s="19"/>
      <c r="AJ177" s="19"/>
      <c r="AK177" s="19"/>
      <c r="AL177" s="19"/>
      <c r="AM177" s="19"/>
      <c r="AN177" s="19"/>
      <c r="AP177" s="19"/>
      <c r="AQ177" s="21"/>
      <c r="AR177" s="21"/>
      <c r="AS177" s="21"/>
      <c r="AT177" s="19"/>
      <c r="AU177" s="21"/>
      <c r="AV177" s="19"/>
      <c r="AW177" s="19"/>
      <c r="AZ177" s="19"/>
      <c r="BA177" s="19"/>
      <c r="BB177" s="19"/>
      <c r="BC177" s="19"/>
      <c r="BD177" s="19"/>
      <c r="BE177" s="19"/>
      <c r="BF177" s="19"/>
      <c r="BG177" s="19"/>
      <c r="BH177" s="19"/>
      <c r="BJ177" s="19"/>
      <c r="BK177" s="19"/>
      <c r="BL177" s="21"/>
      <c r="BM177" s="19"/>
      <c r="BN177" s="19"/>
      <c r="BO177" s="19"/>
      <c r="BP177" s="21"/>
      <c r="BQ177" s="19"/>
      <c r="BR177" s="19"/>
      <c r="BS177" s="19"/>
      <c r="BT177" s="20"/>
      <c r="BU177" s="19"/>
      <c r="BV177" s="19"/>
    </row>
    <row r="178" spans="1:74" ht="15" customHeight="1">
      <c r="A178" s="17" t="s">
        <v>25</v>
      </c>
      <c r="B178" s="38">
        <v>25841.221021083154</v>
      </c>
      <c r="C178" s="38">
        <v>5124.34781344766</v>
      </c>
      <c r="D178" s="38">
        <v>35846.421588328332</v>
      </c>
      <c r="E178" s="38">
        <v>7143.1238268678462</v>
      </c>
      <c r="F178" s="38">
        <v>10249.297122536023</v>
      </c>
      <c r="G178" s="37"/>
      <c r="H178" s="34">
        <v>84204.411372263014</v>
      </c>
      <c r="I178" s="37"/>
      <c r="J178" s="38">
        <v>30555.235977173339</v>
      </c>
      <c r="K178" s="38">
        <v>5879.8494592320558</v>
      </c>
      <c r="L178" s="38">
        <v>22007.240224266046</v>
      </c>
      <c r="M178" s="38">
        <v>10936.391541416811</v>
      </c>
      <c r="N178" s="38">
        <v>37389.798198274715</v>
      </c>
      <c r="O178" s="38">
        <v>13980.719466079823</v>
      </c>
      <c r="P178" s="38">
        <v>24429.641691099005</v>
      </c>
      <c r="Q178" s="38">
        <v>14408.987696292692</v>
      </c>
      <c r="R178" s="37"/>
      <c r="S178" s="34">
        <v>159587.8642538345</v>
      </c>
      <c r="T178" s="36"/>
      <c r="U178" s="35">
        <v>3568.6779942118646</v>
      </c>
      <c r="V178" s="34">
        <v>240223.59763188564</v>
      </c>
      <c r="W178" s="31">
        <v>13213.319433402474</v>
      </c>
      <c r="X178" s="31">
        <v>2109.9686722219035</v>
      </c>
      <c r="Y178" s="31">
        <v>9855.5919149028214</v>
      </c>
      <c r="Z178" s="31">
        <v>25178.880020527198</v>
      </c>
      <c r="AA178" s="33">
        <v>265402.47765241284</v>
      </c>
      <c r="AB178" s="32"/>
      <c r="AC178" s="31"/>
      <c r="AD178" s="44"/>
      <c r="AE178" s="39"/>
      <c r="AG178" s="19"/>
      <c r="AH178" s="19"/>
      <c r="AI178" s="19"/>
      <c r="AJ178" s="19"/>
      <c r="AK178" s="19"/>
      <c r="AL178" s="19"/>
      <c r="AM178" s="19"/>
      <c r="AN178" s="19"/>
      <c r="AP178" s="19"/>
      <c r="AQ178" s="21"/>
      <c r="AR178" s="21"/>
      <c r="AS178" s="21"/>
      <c r="AT178" s="19"/>
      <c r="AU178" s="21"/>
      <c r="AV178" s="19"/>
      <c r="AW178" s="19"/>
      <c r="AZ178" s="19"/>
      <c r="BA178" s="19"/>
      <c r="BB178" s="19"/>
      <c r="BC178" s="19"/>
      <c r="BD178" s="19"/>
      <c r="BE178" s="19"/>
      <c r="BF178" s="19"/>
      <c r="BG178" s="19"/>
      <c r="BH178" s="19"/>
      <c r="BJ178" s="19"/>
      <c r="BK178" s="19"/>
      <c r="BL178" s="21"/>
      <c r="BM178" s="19"/>
      <c r="BN178" s="19"/>
      <c r="BO178" s="19"/>
      <c r="BP178" s="21"/>
      <c r="BQ178" s="19"/>
      <c r="BR178" s="19"/>
      <c r="BS178" s="19"/>
      <c r="BT178" s="20"/>
      <c r="BU178" s="19"/>
      <c r="BV178" s="19"/>
    </row>
    <row r="179" spans="1:74" ht="15" customHeight="1">
      <c r="A179" s="17" t="s">
        <v>24</v>
      </c>
      <c r="B179" s="38">
        <v>12931.939565773269</v>
      </c>
      <c r="C179" s="38">
        <v>5105.7351846286792</v>
      </c>
      <c r="D179" s="38">
        <v>39194.516003388424</v>
      </c>
      <c r="E179" s="38">
        <v>7935.5570681477329</v>
      </c>
      <c r="F179" s="38">
        <v>11990.61215384786</v>
      </c>
      <c r="G179" s="37"/>
      <c r="H179" s="34">
        <v>77158.359975785963</v>
      </c>
      <c r="I179" s="37"/>
      <c r="J179" s="38">
        <v>29635.248613706739</v>
      </c>
      <c r="K179" s="38">
        <v>6223.2734139205086</v>
      </c>
      <c r="L179" s="38">
        <v>21922.888931672438</v>
      </c>
      <c r="M179" s="38">
        <v>9814.1200410531346</v>
      </c>
      <c r="N179" s="38">
        <v>39590.440830423737</v>
      </c>
      <c r="O179" s="38">
        <v>14313.124403542703</v>
      </c>
      <c r="P179" s="38">
        <v>24535.032021045496</v>
      </c>
      <c r="Q179" s="38">
        <v>14976.067264152669</v>
      </c>
      <c r="R179" s="37"/>
      <c r="S179" s="34">
        <v>161010.19551951741</v>
      </c>
      <c r="T179" s="36"/>
      <c r="U179" s="35">
        <v>2646.5333471218851</v>
      </c>
      <c r="V179" s="34">
        <v>235522.02214818148</v>
      </c>
      <c r="W179" s="31">
        <v>14019.089705642482</v>
      </c>
      <c r="X179" s="31">
        <v>2304.9609288679048</v>
      </c>
      <c r="Y179" s="31">
        <v>9688.4498486760494</v>
      </c>
      <c r="Z179" s="31">
        <v>26012.500483186435</v>
      </c>
      <c r="AA179" s="33">
        <v>261534.5226313679</v>
      </c>
      <c r="AB179" s="32"/>
      <c r="AC179" s="31"/>
      <c r="AD179" s="44"/>
      <c r="AE179" s="39"/>
      <c r="AG179" s="19"/>
      <c r="AH179" s="19"/>
      <c r="AI179" s="19"/>
      <c r="AJ179" s="19"/>
      <c r="AK179" s="19"/>
      <c r="AL179" s="19"/>
      <c r="AM179" s="19"/>
      <c r="AN179" s="19"/>
      <c r="AP179" s="19"/>
      <c r="AQ179" s="21"/>
      <c r="AR179" s="21"/>
      <c r="AS179" s="21"/>
      <c r="AT179" s="19"/>
      <c r="AU179" s="21"/>
      <c r="AV179" s="19"/>
      <c r="AW179" s="19"/>
      <c r="AZ179" s="19"/>
      <c r="BA179" s="19"/>
      <c r="BB179" s="19"/>
      <c r="BC179" s="19"/>
      <c r="BD179" s="19"/>
      <c r="BE179" s="19"/>
      <c r="BF179" s="19"/>
      <c r="BG179" s="19"/>
      <c r="BH179" s="19"/>
      <c r="BJ179" s="19"/>
      <c r="BK179" s="19"/>
      <c r="BL179" s="21"/>
      <c r="BM179" s="19"/>
      <c r="BN179" s="19"/>
      <c r="BO179" s="19"/>
      <c r="BP179" s="21"/>
      <c r="BQ179" s="19"/>
      <c r="BR179" s="19"/>
      <c r="BS179" s="19"/>
      <c r="BT179" s="20"/>
      <c r="BU179" s="19"/>
      <c r="BV179" s="19"/>
    </row>
    <row r="180" spans="1:74" ht="15" customHeight="1">
      <c r="A180" s="17" t="s">
        <v>23</v>
      </c>
      <c r="B180" s="38">
        <v>12255.649563974073</v>
      </c>
      <c r="C180" s="38">
        <v>5082.6782317375373</v>
      </c>
      <c r="D180" s="38">
        <v>40798.67032270167</v>
      </c>
      <c r="E180" s="38">
        <v>7275.4268346346407</v>
      </c>
      <c r="F180" s="38">
        <v>13523.815287182268</v>
      </c>
      <c r="G180" s="37"/>
      <c r="H180" s="34">
        <v>78936.240240230196</v>
      </c>
      <c r="I180" s="37"/>
      <c r="J180" s="38">
        <v>31020.889301501611</v>
      </c>
      <c r="K180" s="38">
        <v>6725.4706477773361</v>
      </c>
      <c r="L180" s="38">
        <v>23305.240379911185</v>
      </c>
      <c r="M180" s="38">
        <v>9095.0508131821043</v>
      </c>
      <c r="N180" s="38">
        <v>39802.363789232943</v>
      </c>
      <c r="O180" s="38">
        <v>14184.909152811701</v>
      </c>
      <c r="P180" s="38">
        <v>23884.103684769652</v>
      </c>
      <c r="Q180" s="38">
        <v>15639.922325213473</v>
      </c>
      <c r="R180" s="37"/>
      <c r="S180" s="34">
        <v>163657.9500944</v>
      </c>
      <c r="T180" s="36"/>
      <c r="U180" s="35">
        <v>2297.5678521511099</v>
      </c>
      <c r="V180" s="34">
        <v>240296.62248247908</v>
      </c>
      <c r="W180" s="31">
        <v>15330.120302983418</v>
      </c>
      <c r="X180" s="31">
        <v>2688.3862060176621</v>
      </c>
      <c r="Y180" s="31">
        <v>10245.8378058786</v>
      </c>
      <c r="Z180" s="31">
        <v>28264.34431487968</v>
      </c>
      <c r="AA180" s="33">
        <v>268560.96679735876</v>
      </c>
      <c r="AB180" s="32"/>
      <c r="AC180" s="31"/>
      <c r="AD180" s="44"/>
      <c r="AE180" s="39"/>
      <c r="AG180" s="19"/>
      <c r="AH180" s="19"/>
      <c r="AI180" s="19"/>
      <c r="AJ180" s="19"/>
      <c r="AK180" s="19"/>
      <c r="AL180" s="19"/>
      <c r="AM180" s="19"/>
      <c r="AN180" s="19"/>
      <c r="AP180" s="19"/>
      <c r="AQ180" s="21"/>
      <c r="AR180" s="21"/>
      <c r="AS180" s="21"/>
      <c r="AT180" s="19"/>
      <c r="AU180" s="21"/>
      <c r="AV180" s="19"/>
      <c r="AW180" s="19"/>
      <c r="AZ180" s="19"/>
      <c r="BA180" s="19"/>
      <c r="BB180" s="19"/>
      <c r="BC180" s="19"/>
      <c r="BD180" s="19"/>
      <c r="BE180" s="19"/>
      <c r="BF180" s="19"/>
      <c r="BG180" s="19"/>
      <c r="BH180" s="19"/>
      <c r="BJ180" s="19"/>
      <c r="BK180" s="19"/>
      <c r="BL180" s="21"/>
      <c r="BM180" s="19"/>
      <c r="BN180" s="19"/>
      <c r="BO180" s="19"/>
      <c r="BP180" s="21"/>
      <c r="BQ180" s="19"/>
      <c r="BR180" s="19"/>
      <c r="BS180" s="19"/>
      <c r="BT180" s="20"/>
      <c r="BU180" s="19"/>
      <c r="BV180" s="19"/>
    </row>
    <row r="181" spans="1:74" ht="15" customHeight="1">
      <c r="A181" s="55"/>
      <c r="B181" s="28"/>
      <c r="C181" s="28"/>
      <c r="D181" s="28"/>
      <c r="E181" s="28"/>
      <c r="F181" s="28"/>
      <c r="G181" s="28"/>
      <c r="H181" s="27"/>
      <c r="I181" s="26"/>
      <c r="J181" s="28"/>
      <c r="K181" s="28"/>
      <c r="L181" s="28"/>
      <c r="M181" s="28"/>
      <c r="N181" s="28"/>
      <c r="O181" s="28"/>
      <c r="P181" s="28"/>
      <c r="Q181" s="28"/>
      <c r="R181" s="28"/>
      <c r="S181" s="27"/>
      <c r="T181" s="28"/>
      <c r="U181" s="54"/>
      <c r="V181" s="27"/>
      <c r="W181" s="53"/>
      <c r="X181" s="53"/>
      <c r="Y181" s="53"/>
      <c r="Z181" s="26"/>
      <c r="AA181" s="52"/>
      <c r="AB181" s="32"/>
      <c r="AC181" s="48"/>
      <c r="AD181" s="44"/>
      <c r="AE181" s="39"/>
      <c r="AG181" s="19"/>
      <c r="AH181" s="19"/>
      <c r="AI181" s="19"/>
      <c r="AJ181" s="19"/>
      <c r="AK181" s="19"/>
      <c r="AL181" s="19"/>
      <c r="AM181" s="19"/>
      <c r="AN181" s="19"/>
      <c r="AP181" s="19"/>
      <c r="AQ181" s="21"/>
      <c r="AR181" s="21"/>
      <c r="AS181" s="21"/>
      <c r="AT181" s="19"/>
      <c r="AU181" s="21"/>
      <c r="AV181" s="19"/>
      <c r="AW181" s="19"/>
      <c r="AZ181" s="19"/>
      <c r="BA181" s="19"/>
      <c r="BB181" s="19"/>
      <c r="BC181" s="19"/>
      <c r="BD181" s="19"/>
      <c r="BE181" s="19"/>
      <c r="BF181" s="19"/>
      <c r="BG181" s="19"/>
      <c r="BH181" s="19"/>
      <c r="BJ181" s="19"/>
      <c r="BK181" s="19"/>
      <c r="BL181" s="21"/>
      <c r="BM181" s="19"/>
      <c r="BN181" s="19"/>
      <c r="BO181" s="19"/>
      <c r="BP181" s="21"/>
      <c r="BQ181" s="19"/>
      <c r="BR181" s="19"/>
      <c r="BS181" s="19"/>
      <c r="BT181" s="20"/>
      <c r="BU181" s="19"/>
      <c r="BV181" s="19"/>
    </row>
    <row r="182" spans="1:74" ht="15" customHeight="1">
      <c r="A182" s="17"/>
      <c r="H182" s="46"/>
      <c r="J182" s="14"/>
      <c r="K182" s="14"/>
      <c r="L182" s="14"/>
      <c r="M182" s="14"/>
      <c r="N182" s="14"/>
      <c r="O182" s="14"/>
      <c r="P182" s="14"/>
      <c r="Q182" s="14"/>
      <c r="R182" s="14"/>
      <c r="S182" s="46"/>
      <c r="U182" s="51"/>
      <c r="V182" s="46"/>
      <c r="W182" s="50"/>
      <c r="X182" s="50"/>
      <c r="Y182" s="50"/>
      <c r="AA182" s="49"/>
      <c r="AB182" s="32"/>
      <c r="AC182" s="48"/>
      <c r="AD182" s="44"/>
      <c r="AE182" s="39"/>
      <c r="AG182" s="19"/>
      <c r="AH182" s="19"/>
      <c r="AI182" s="19"/>
      <c r="AJ182" s="19"/>
      <c r="AK182" s="19"/>
      <c r="AL182" s="19"/>
      <c r="AM182" s="19"/>
      <c r="AN182" s="19"/>
      <c r="AP182" s="19"/>
      <c r="AQ182" s="21"/>
      <c r="AR182" s="21"/>
      <c r="AS182" s="21"/>
      <c r="AT182" s="19"/>
      <c r="AU182" s="21"/>
      <c r="AV182" s="19"/>
      <c r="AW182" s="19"/>
      <c r="AZ182" s="19"/>
      <c r="BA182" s="19"/>
      <c r="BB182" s="19"/>
      <c r="BC182" s="19"/>
      <c r="BD182" s="19"/>
      <c r="BE182" s="19"/>
      <c r="BF182" s="19"/>
      <c r="BG182" s="19"/>
      <c r="BH182" s="19"/>
      <c r="BJ182" s="19"/>
      <c r="BK182" s="19"/>
      <c r="BL182" s="21"/>
      <c r="BM182" s="19"/>
      <c r="BN182" s="19"/>
      <c r="BO182" s="19"/>
      <c r="BP182" s="21"/>
      <c r="BQ182" s="19"/>
      <c r="BR182" s="19"/>
      <c r="BS182" s="19"/>
      <c r="BT182" s="20"/>
      <c r="BU182" s="19"/>
      <c r="BV182" s="19"/>
    </row>
    <row r="183" spans="1:74" ht="15" customHeight="1">
      <c r="A183" s="17">
        <v>2004</v>
      </c>
      <c r="B183" s="34">
        <v>15504.635398070408</v>
      </c>
      <c r="C183" s="34">
        <v>5003.1402344386152</v>
      </c>
      <c r="D183" s="34">
        <v>41492.406759313097</v>
      </c>
      <c r="E183" s="34">
        <v>7702.354208839778</v>
      </c>
      <c r="F183" s="34">
        <v>14469.557079118371</v>
      </c>
      <c r="G183" s="40"/>
      <c r="H183" s="34">
        <v>84172.093679780271</v>
      </c>
      <c r="I183" s="40"/>
      <c r="J183" s="34">
        <v>33225.367441609116</v>
      </c>
      <c r="K183" s="34">
        <v>6849.961329392987</v>
      </c>
      <c r="L183" s="34">
        <v>24542.902830962066</v>
      </c>
      <c r="M183" s="34">
        <v>9539.7276834335353</v>
      </c>
      <c r="N183" s="34">
        <v>39936.175192995302</v>
      </c>
      <c r="O183" s="34">
        <v>14328.451088964506</v>
      </c>
      <c r="P183" s="34">
        <v>23475.714082787497</v>
      </c>
      <c r="Q183" s="34">
        <v>15679.02291159647</v>
      </c>
      <c r="R183" s="34"/>
      <c r="S183" s="34">
        <v>167577.32256174146</v>
      </c>
      <c r="T183" s="17"/>
      <c r="U183" s="42">
        <v>2233.481819528698</v>
      </c>
      <c r="V183" s="34">
        <v>249515.93442199301</v>
      </c>
      <c r="W183" s="34">
        <v>15776.317279505321</v>
      </c>
      <c r="X183" s="34">
        <v>3193.2005067138898</v>
      </c>
      <c r="Y183" s="34">
        <v>10655.836423511992</v>
      </c>
      <c r="Z183" s="34">
        <v>29625.354209731202</v>
      </c>
      <c r="AA183" s="33">
        <v>279141.28863172425</v>
      </c>
      <c r="AB183" s="32"/>
      <c r="AC183" s="48"/>
      <c r="AD183" s="44"/>
      <c r="AE183" s="39"/>
      <c r="AG183" s="19"/>
      <c r="AH183" s="19"/>
      <c r="AI183" s="19"/>
      <c r="AJ183" s="19"/>
      <c r="AK183" s="19"/>
      <c r="AL183" s="19"/>
      <c r="AM183" s="19"/>
      <c r="AN183" s="19"/>
      <c r="AP183" s="19"/>
      <c r="AQ183" s="21"/>
      <c r="AR183" s="21"/>
      <c r="AS183" s="21"/>
      <c r="AT183" s="19"/>
      <c r="AU183" s="21"/>
      <c r="AV183" s="19"/>
      <c r="AW183" s="19"/>
      <c r="AZ183" s="19"/>
      <c r="BA183" s="19"/>
      <c r="BB183" s="19"/>
      <c r="BC183" s="19"/>
      <c r="BD183" s="19"/>
      <c r="BE183" s="19"/>
      <c r="BF183" s="19"/>
      <c r="BG183" s="19"/>
      <c r="BH183" s="19"/>
      <c r="BJ183" s="19"/>
      <c r="BK183" s="19"/>
      <c r="BL183" s="21"/>
      <c r="BM183" s="19"/>
      <c r="BN183" s="19"/>
      <c r="BO183" s="19"/>
      <c r="BP183" s="21"/>
      <c r="BQ183" s="19"/>
      <c r="BR183" s="19"/>
      <c r="BS183" s="19"/>
      <c r="BT183" s="20"/>
      <c r="BU183" s="19"/>
      <c r="BV183" s="19"/>
    </row>
    <row r="184" spans="1:74" ht="15" customHeight="1">
      <c r="A184" s="17" t="s">
        <v>26</v>
      </c>
      <c r="B184" s="38">
        <v>12969.616597070457</v>
      </c>
      <c r="C184" s="38">
        <v>4915.9822213493853</v>
      </c>
      <c r="D184" s="38">
        <v>37504.41610738702</v>
      </c>
      <c r="E184" s="38">
        <v>7187.9954702065543</v>
      </c>
      <c r="F184" s="38">
        <v>12668.872910511558</v>
      </c>
      <c r="G184" s="37"/>
      <c r="H184" s="34">
        <v>75246.883306524978</v>
      </c>
      <c r="I184" s="37"/>
      <c r="J184" s="38">
        <v>29558.584620782738</v>
      </c>
      <c r="K184" s="38">
        <v>7213.7014373836228</v>
      </c>
      <c r="L184" s="38">
        <v>22011.635703917</v>
      </c>
      <c r="M184" s="38">
        <v>9209.5542728609562</v>
      </c>
      <c r="N184" s="38">
        <v>38093.535044229669</v>
      </c>
      <c r="O184" s="38">
        <v>14060.596819297898</v>
      </c>
      <c r="P184" s="38">
        <v>18804.068030719427</v>
      </c>
      <c r="Q184" s="38">
        <v>13444.707320741807</v>
      </c>
      <c r="R184" s="37"/>
      <c r="S184" s="34">
        <v>152396.38324993316</v>
      </c>
      <c r="T184" s="36"/>
      <c r="U184" s="35">
        <v>2199.4359429572523</v>
      </c>
      <c r="V184" s="34">
        <v>225443.83061350088</v>
      </c>
      <c r="W184" s="31">
        <v>15715.892401050771</v>
      </c>
      <c r="X184" s="31">
        <v>2756.0040607989113</v>
      </c>
      <c r="Y184" s="31">
        <v>10414.69634797212</v>
      </c>
      <c r="Z184" s="31">
        <v>28886.592809821803</v>
      </c>
      <c r="AA184" s="33">
        <v>254330.42342332267</v>
      </c>
      <c r="AB184" s="32"/>
      <c r="AC184" s="31"/>
      <c r="AD184" s="44"/>
      <c r="AE184" s="39"/>
      <c r="AG184" s="19"/>
      <c r="AH184" s="19"/>
      <c r="AI184" s="19"/>
      <c r="AJ184" s="19"/>
      <c r="AK184" s="19"/>
      <c r="AL184" s="19"/>
      <c r="AM184" s="19"/>
      <c r="AN184" s="19"/>
      <c r="AP184" s="19"/>
      <c r="AQ184" s="21"/>
      <c r="AR184" s="21"/>
      <c r="AS184" s="21"/>
      <c r="AT184" s="19"/>
      <c r="AU184" s="21"/>
      <c r="AV184" s="19"/>
      <c r="AW184" s="19"/>
      <c r="AZ184" s="19"/>
      <c r="BA184" s="19"/>
      <c r="BB184" s="19"/>
      <c r="BC184" s="19"/>
      <c r="BD184" s="19"/>
      <c r="BE184" s="19"/>
      <c r="BF184" s="19"/>
      <c r="BG184" s="19"/>
      <c r="BH184" s="19"/>
      <c r="BJ184" s="19"/>
      <c r="BK184" s="19"/>
      <c r="BL184" s="21"/>
      <c r="BM184" s="19"/>
      <c r="BN184" s="19"/>
      <c r="BO184" s="19"/>
      <c r="BP184" s="21"/>
      <c r="BQ184" s="19"/>
      <c r="BR184" s="19"/>
      <c r="BS184" s="19"/>
      <c r="BT184" s="20"/>
      <c r="BU184" s="19"/>
      <c r="BV184" s="19"/>
    </row>
    <row r="185" spans="1:74" ht="15" customHeight="1">
      <c r="A185" s="17" t="s">
        <v>25</v>
      </c>
      <c r="B185" s="38">
        <v>22970.571881485681</v>
      </c>
      <c r="C185" s="38">
        <v>5002.5940826084361</v>
      </c>
      <c r="D185" s="38">
        <v>40779.964490850565</v>
      </c>
      <c r="E185" s="38">
        <v>7728.4608018869903</v>
      </c>
      <c r="F185" s="38">
        <v>13585.820877612176</v>
      </c>
      <c r="G185" s="37"/>
      <c r="H185" s="34">
        <v>90067.412134443846</v>
      </c>
      <c r="I185" s="37"/>
      <c r="J185" s="38">
        <v>34612.383160531186</v>
      </c>
      <c r="K185" s="38">
        <v>6212.7866219739135</v>
      </c>
      <c r="L185" s="38">
        <v>24167.112868611021</v>
      </c>
      <c r="M185" s="38">
        <v>9684.6197200156821</v>
      </c>
      <c r="N185" s="38">
        <v>38966.965956523527</v>
      </c>
      <c r="O185" s="38">
        <v>14088.126495057148</v>
      </c>
      <c r="P185" s="38">
        <v>25030.434549544974</v>
      </c>
      <c r="Q185" s="38">
        <v>15819.121881244331</v>
      </c>
      <c r="R185" s="37"/>
      <c r="S185" s="34">
        <v>168581.55125350179</v>
      </c>
      <c r="T185" s="36"/>
      <c r="U185" s="35">
        <v>2345.3632439441531</v>
      </c>
      <c r="V185" s="34">
        <v>256303.60014400148</v>
      </c>
      <c r="W185" s="31">
        <v>14481.798099009113</v>
      </c>
      <c r="X185" s="31">
        <v>3221.3540576105588</v>
      </c>
      <c r="Y185" s="31">
        <v>10368.858268084357</v>
      </c>
      <c r="Z185" s="31">
        <v>28072.010424704029</v>
      </c>
      <c r="AA185" s="33">
        <v>284375.61056870548</v>
      </c>
      <c r="AB185" s="32"/>
      <c r="AC185" s="31"/>
      <c r="AD185" s="44"/>
      <c r="AE185" s="39"/>
      <c r="AG185" s="19"/>
      <c r="AH185" s="19"/>
      <c r="AI185" s="19"/>
      <c r="AJ185" s="19"/>
      <c r="AK185" s="19"/>
      <c r="AL185" s="19"/>
      <c r="AM185" s="19"/>
      <c r="AN185" s="19"/>
      <c r="AP185" s="19"/>
      <c r="AQ185" s="21"/>
      <c r="AR185" s="21"/>
      <c r="AS185" s="21"/>
      <c r="AT185" s="19"/>
      <c r="AU185" s="21"/>
      <c r="AV185" s="19"/>
      <c r="AW185" s="19"/>
      <c r="AZ185" s="19"/>
      <c r="BA185" s="19"/>
      <c r="BB185" s="19"/>
      <c r="BC185" s="19"/>
      <c r="BD185" s="19"/>
      <c r="BE185" s="19"/>
      <c r="BF185" s="19"/>
      <c r="BG185" s="19"/>
      <c r="BH185" s="19"/>
      <c r="BJ185" s="19"/>
      <c r="BK185" s="19"/>
      <c r="BL185" s="21"/>
      <c r="BM185" s="19"/>
      <c r="BN185" s="19"/>
      <c r="BO185" s="19"/>
      <c r="BP185" s="21"/>
      <c r="BQ185" s="19"/>
      <c r="BR185" s="19"/>
      <c r="BS185" s="19"/>
      <c r="BT185" s="20"/>
      <c r="BU185" s="19"/>
      <c r="BV185" s="19"/>
    </row>
    <row r="186" spans="1:74" ht="15" customHeight="1">
      <c r="A186" s="17" t="s">
        <v>24</v>
      </c>
      <c r="B186" s="38">
        <v>13184.546402788603</v>
      </c>
      <c r="C186" s="38">
        <v>4986.1881253760857</v>
      </c>
      <c r="D186" s="38">
        <v>43114.811485610175</v>
      </c>
      <c r="E186" s="38">
        <v>8155.8432912674616</v>
      </c>
      <c r="F186" s="38">
        <v>15150.558227652316</v>
      </c>
      <c r="G186" s="37"/>
      <c r="H186" s="34">
        <v>84591.947532694641</v>
      </c>
      <c r="I186" s="37"/>
      <c r="J186" s="38">
        <v>33852.803874614721</v>
      </c>
      <c r="K186" s="38">
        <v>6720.4779168227933</v>
      </c>
      <c r="L186" s="38">
        <v>24856.681705375002</v>
      </c>
      <c r="M186" s="38">
        <v>9454.3853999696148</v>
      </c>
      <c r="N186" s="38">
        <v>41126.837052155563</v>
      </c>
      <c r="O186" s="38">
        <v>14625.690948287356</v>
      </c>
      <c r="P186" s="38">
        <v>25400.941744135627</v>
      </c>
      <c r="Q186" s="38">
        <v>16264.587091602196</v>
      </c>
      <c r="R186" s="37"/>
      <c r="S186" s="34">
        <v>172302.40573296288</v>
      </c>
      <c r="T186" s="36"/>
      <c r="U186" s="35">
        <v>2142.1514671326681</v>
      </c>
      <c r="V186" s="34">
        <v>254752.20179852485</v>
      </c>
      <c r="W186" s="31">
        <v>15735.252499781616</v>
      </c>
      <c r="X186" s="31">
        <v>3337.0084504611959</v>
      </c>
      <c r="Y186" s="31">
        <v>10567.597188451724</v>
      </c>
      <c r="Z186" s="31">
        <v>29639.858138694537</v>
      </c>
      <c r="AA186" s="33">
        <v>284392.05993721937</v>
      </c>
      <c r="AB186" s="32"/>
      <c r="AC186" s="31"/>
      <c r="AD186" s="44"/>
      <c r="AE186" s="39"/>
      <c r="AG186" s="19"/>
      <c r="AH186" s="19"/>
      <c r="AI186" s="19"/>
      <c r="AJ186" s="19"/>
      <c r="AK186" s="19"/>
      <c r="AL186" s="19"/>
      <c r="AM186" s="19"/>
      <c r="AN186" s="19"/>
      <c r="AP186" s="19"/>
      <c r="AQ186" s="21"/>
      <c r="AR186" s="21"/>
      <c r="AS186" s="21"/>
      <c r="AT186" s="19"/>
      <c r="AU186" s="21"/>
      <c r="AV186" s="19"/>
      <c r="AW186" s="19"/>
      <c r="AZ186" s="19"/>
      <c r="BA186" s="19"/>
      <c r="BB186" s="19"/>
      <c r="BC186" s="19"/>
      <c r="BD186" s="19"/>
      <c r="BE186" s="19"/>
      <c r="BF186" s="19"/>
      <c r="BG186" s="19"/>
      <c r="BH186" s="19"/>
      <c r="BJ186" s="19"/>
      <c r="BK186" s="19"/>
      <c r="BL186" s="21"/>
      <c r="BM186" s="19"/>
      <c r="BN186" s="19"/>
      <c r="BO186" s="19"/>
      <c r="BP186" s="21"/>
      <c r="BQ186" s="19"/>
      <c r="BR186" s="19"/>
      <c r="BS186" s="19"/>
      <c r="BT186" s="20"/>
      <c r="BU186" s="19"/>
      <c r="BV186" s="19"/>
    </row>
    <row r="187" spans="1:74" ht="15" customHeight="1">
      <c r="A187" s="17" t="s">
        <v>23</v>
      </c>
      <c r="B187" s="38">
        <v>12893.806710936884</v>
      </c>
      <c r="C187" s="38">
        <v>5107.7965084205543</v>
      </c>
      <c r="D187" s="38">
        <v>44570.434953404612</v>
      </c>
      <c r="E187" s="38">
        <v>7737.1172719981087</v>
      </c>
      <c r="F187" s="38">
        <v>16472.976300697443</v>
      </c>
      <c r="G187" s="37"/>
      <c r="H187" s="34">
        <v>86782.131745457606</v>
      </c>
      <c r="I187" s="37"/>
      <c r="J187" s="38">
        <v>34877.698110507808</v>
      </c>
      <c r="K187" s="38">
        <v>7252.8793413916155</v>
      </c>
      <c r="L187" s="38">
        <v>27136.181045945239</v>
      </c>
      <c r="M187" s="38">
        <v>9810.351340887888</v>
      </c>
      <c r="N187" s="38">
        <v>41557.362719072466</v>
      </c>
      <c r="O187" s="38">
        <v>14539.390093215628</v>
      </c>
      <c r="P187" s="38">
        <v>24667.412006749968</v>
      </c>
      <c r="Q187" s="38">
        <v>17187.675352797545</v>
      </c>
      <c r="R187" s="37"/>
      <c r="S187" s="34">
        <v>177028.95001056817</v>
      </c>
      <c r="T187" s="36"/>
      <c r="U187" s="35">
        <v>2246.9766240807185</v>
      </c>
      <c r="V187" s="34">
        <v>261564.10513194508</v>
      </c>
      <c r="W187" s="31">
        <v>17172.326118179786</v>
      </c>
      <c r="X187" s="31">
        <v>3458.4354579848941</v>
      </c>
      <c r="Y187" s="31">
        <v>11272.193889539762</v>
      </c>
      <c r="Z187" s="31">
        <v>31902.955465704443</v>
      </c>
      <c r="AA187" s="33">
        <v>293467.06059764954</v>
      </c>
      <c r="AB187" s="32"/>
      <c r="AC187" s="31"/>
      <c r="AD187" s="44"/>
      <c r="AE187" s="39"/>
      <c r="AG187" s="19"/>
      <c r="AH187" s="19"/>
      <c r="AI187" s="19"/>
      <c r="AJ187" s="19"/>
      <c r="AK187" s="19"/>
      <c r="AL187" s="19"/>
      <c r="AM187" s="19"/>
      <c r="AN187" s="19"/>
      <c r="AP187" s="19"/>
      <c r="AQ187" s="21"/>
      <c r="AR187" s="21"/>
      <c r="AS187" s="21"/>
      <c r="AT187" s="19"/>
      <c r="AU187" s="21"/>
      <c r="AV187" s="19"/>
      <c r="AW187" s="19"/>
      <c r="AZ187" s="19"/>
      <c r="BA187" s="19"/>
      <c r="BB187" s="19"/>
      <c r="BC187" s="19"/>
      <c r="BD187" s="19"/>
      <c r="BE187" s="19"/>
      <c r="BF187" s="19"/>
      <c r="BG187" s="19"/>
      <c r="BH187" s="19"/>
      <c r="BJ187" s="19"/>
      <c r="BK187" s="19"/>
      <c r="BL187" s="21"/>
      <c r="BM187" s="19"/>
      <c r="BN187" s="19"/>
      <c r="BO187" s="19"/>
      <c r="BP187" s="21"/>
      <c r="BQ187" s="19"/>
      <c r="BR187" s="19"/>
      <c r="BS187" s="19"/>
      <c r="BT187" s="20"/>
      <c r="BU187" s="19"/>
      <c r="BV187" s="19"/>
    </row>
    <row r="188" spans="1:74" ht="15" customHeight="1">
      <c r="A188" s="28"/>
      <c r="B188" s="28"/>
      <c r="C188" s="28"/>
      <c r="D188" s="28"/>
      <c r="E188" s="28"/>
      <c r="F188" s="28"/>
      <c r="G188" s="28"/>
      <c r="H188" s="27"/>
      <c r="I188" s="26"/>
      <c r="J188" s="28"/>
      <c r="K188" s="28"/>
      <c r="L188" s="28"/>
      <c r="M188" s="28"/>
      <c r="N188" s="28"/>
      <c r="O188" s="28"/>
      <c r="P188" s="28"/>
      <c r="Q188" s="28"/>
      <c r="R188" s="28"/>
      <c r="S188" s="27"/>
      <c r="T188" s="28"/>
      <c r="U188" s="26"/>
      <c r="V188" s="27"/>
      <c r="W188" s="26"/>
      <c r="X188" s="26"/>
      <c r="Y188" s="26"/>
      <c r="Z188" s="26"/>
      <c r="AA188" s="25"/>
      <c r="AB188" s="47"/>
      <c r="AC188" s="44"/>
      <c r="AD188" s="44"/>
      <c r="AR188" s="23"/>
      <c r="AU188" s="23"/>
    </row>
    <row r="189" spans="1:74" ht="15.75" customHeight="1">
      <c r="H189" s="46"/>
      <c r="J189" s="14"/>
      <c r="K189" s="14"/>
      <c r="L189" s="14"/>
      <c r="M189" s="14"/>
      <c r="N189" s="14"/>
      <c r="O189" s="14"/>
      <c r="P189" s="14"/>
      <c r="Q189" s="14"/>
      <c r="R189" s="14"/>
      <c r="S189" s="46"/>
      <c r="V189" s="46"/>
      <c r="AA189" s="45"/>
      <c r="AC189" s="44"/>
      <c r="AD189" s="44"/>
      <c r="AR189" s="23"/>
      <c r="AU189" s="23"/>
    </row>
    <row r="190" spans="1:74" ht="13.5" customHeight="1">
      <c r="A190" s="17">
        <v>2005</v>
      </c>
      <c r="B190" s="43">
        <v>17357.827466503084</v>
      </c>
      <c r="C190" s="43">
        <v>4965.0204221316735</v>
      </c>
      <c r="D190" s="43">
        <v>44612.701642066648</v>
      </c>
      <c r="E190" s="43">
        <v>8081.0045079572492</v>
      </c>
      <c r="F190" s="43">
        <v>17458.917500305255</v>
      </c>
      <c r="H190" s="43">
        <v>92475.471538963917</v>
      </c>
      <c r="J190" s="43">
        <v>36739.283043020623</v>
      </c>
      <c r="K190" s="43">
        <v>7384.4176201317277</v>
      </c>
      <c r="L190" s="43">
        <v>28150.524843397157</v>
      </c>
      <c r="M190" s="43">
        <v>11183.247381998704</v>
      </c>
      <c r="N190" s="43">
        <v>41698.379190525382</v>
      </c>
      <c r="O190" s="43">
        <v>14793.67235820815</v>
      </c>
      <c r="P190" s="43">
        <v>24421.895722813315</v>
      </c>
      <c r="Q190" s="43">
        <v>17188.890201137321</v>
      </c>
      <c r="R190" s="43"/>
      <c r="S190" s="34">
        <v>181560.3103612324</v>
      </c>
      <c r="U190" s="42">
        <v>2637.9516672721761</v>
      </c>
      <c r="V190" s="34">
        <v>271397.83023292408</v>
      </c>
      <c r="W190" s="34">
        <v>18042.802127518029</v>
      </c>
      <c r="X190" s="34">
        <v>3946.7606670092459</v>
      </c>
      <c r="Y190" s="34">
        <v>11376.13552284405</v>
      </c>
      <c r="Z190" s="34">
        <v>33365.698317371323</v>
      </c>
      <c r="AA190" s="33">
        <v>304763.52855029545</v>
      </c>
      <c r="AB190" s="41"/>
      <c r="AC190" s="40"/>
      <c r="AE190" s="39"/>
      <c r="AG190" s="19"/>
      <c r="AH190" s="19"/>
      <c r="AI190" s="19"/>
      <c r="AJ190" s="19"/>
      <c r="AK190" s="19"/>
      <c r="AL190" s="19"/>
      <c r="AM190" s="19"/>
      <c r="AN190" s="19"/>
      <c r="AP190" s="19"/>
      <c r="AQ190" s="21"/>
      <c r="AR190" s="21"/>
      <c r="AS190" s="21"/>
      <c r="AT190" s="19"/>
      <c r="AU190" s="21"/>
      <c r="AV190" s="19"/>
      <c r="AW190" s="19"/>
      <c r="AZ190" s="19"/>
      <c r="BA190" s="19"/>
      <c r="BB190" s="19"/>
      <c r="BC190" s="19"/>
      <c r="BD190" s="19"/>
      <c r="BE190" s="19"/>
      <c r="BF190" s="19"/>
      <c r="BG190" s="19"/>
      <c r="BH190" s="19"/>
      <c r="BJ190" s="19"/>
      <c r="BK190" s="19"/>
      <c r="BL190" s="21"/>
      <c r="BM190" s="19"/>
      <c r="BN190" s="19"/>
      <c r="BO190" s="19"/>
      <c r="BP190" s="21"/>
      <c r="BQ190" s="19"/>
      <c r="BR190" s="19"/>
      <c r="BS190" s="19"/>
      <c r="BT190" s="20"/>
      <c r="BU190" s="19"/>
      <c r="BV190" s="19"/>
    </row>
    <row r="191" spans="1:74" ht="13.5" customHeight="1">
      <c r="A191" s="17" t="s">
        <v>26</v>
      </c>
      <c r="B191" s="38">
        <v>14103.638545252074</v>
      </c>
      <c r="C191" s="38">
        <v>4801.8894013855415</v>
      </c>
      <c r="D191" s="38">
        <v>39597.030567076778</v>
      </c>
      <c r="E191" s="38">
        <v>7561.8567939525865</v>
      </c>
      <c r="F191" s="38">
        <v>14448.455863305311</v>
      </c>
      <c r="G191" s="37"/>
      <c r="H191" s="34">
        <v>80512.871170972285</v>
      </c>
      <c r="I191" s="37"/>
      <c r="J191" s="38">
        <v>32551.109120188783</v>
      </c>
      <c r="K191" s="38">
        <v>7804.3980838514462</v>
      </c>
      <c r="L191" s="38">
        <v>25084.221502499367</v>
      </c>
      <c r="M191" s="38">
        <v>10441.68487386173</v>
      </c>
      <c r="N191" s="38">
        <v>39165.237712100687</v>
      </c>
      <c r="O191" s="38">
        <v>14434.782995721633</v>
      </c>
      <c r="P191" s="38">
        <v>19556.872135707545</v>
      </c>
      <c r="Q191" s="38">
        <v>14717.144667387558</v>
      </c>
      <c r="R191" s="37"/>
      <c r="S191" s="34">
        <v>163755.45109131874</v>
      </c>
      <c r="T191" s="36"/>
      <c r="U191" s="35">
        <v>2429.8744774104871</v>
      </c>
      <c r="V191" s="34">
        <v>241838.44778488055</v>
      </c>
      <c r="W191" s="31">
        <v>17843.582112095592</v>
      </c>
      <c r="X191" s="31">
        <v>3397.5885775592483</v>
      </c>
      <c r="Y191" s="31">
        <v>11514.884093918301</v>
      </c>
      <c r="Z191" s="31">
        <v>32756.054783573141</v>
      </c>
      <c r="AA191" s="33">
        <v>274594.50256845367</v>
      </c>
      <c r="AB191" s="32"/>
      <c r="AC191" s="31"/>
      <c r="AE191" s="39"/>
      <c r="AG191" s="19"/>
      <c r="AH191" s="19"/>
      <c r="AI191" s="19"/>
      <c r="AJ191" s="19"/>
      <c r="AK191" s="19"/>
      <c r="AL191" s="19"/>
      <c r="AM191" s="19"/>
      <c r="AN191" s="19"/>
      <c r="AP191" s="19"/>
      <c r="AQ191" s="21"/>
      <c r="AR191" s="21"/>
      <c r="AS191" s="21"/>
      <c r="AT191" s="19"/>
      <c r="AU191" s="21"/>
      <c r="AV191" s="19"/>
      <c r="AW191" s="19"/>
      <c r="AZ191" s="19"/>
      <c r="BA191" s="19"/>
      <c r="BB191" s="19"/>
      <c r="BC191" s="19"/>
      <c r="BD191" s="19"/>
      <c r="BE191" s="19"/>
      <c r="BF191" s="19"/>
      <c r="BG191" s="19"/>
      <c r="BH191" s="19"/>
      <c r="BJ191" s="19"/>
      <c r="BK191" s="19"/>
      <c r="BL191" s="21"/>
      <c r="BM191" s="19"/>
      <c r="BN191" s="19"/>
      <c r="BO191" s="19"/>
      <c r="BP191" s="21"/>
      <c r="BQ191" s="19"/>
      <c r="BR191" s="19"/>
      <c r="BS191" s="19"/>
      <c r="BT191" s="20"/>
      <c r="BU191" s="19"/>
      <c r="BV191" s="19"/>
    </row>
    <row r="192" spans="1:74" ht="12.75" customHeight="1">
      <c r="A192" s="17" t="s">
        <v>25</v>
      </c>
      <c r="B192" s="38">
        <v>28878.196239973364</v>
      </c>
      <c r="C192" s="38">
        <v>5045.8153522993434</v>
      </c>
      <c r="D192" s="38">
        <v>44144.274047876075</v>
      </c>
      <c r="E192" s="38">
        <v>8090.1723352946956</v>
      </c>
      <c r="F192" s="38">
        <v>16402.739190155698</v>
      </c>
      <c r="G192" s="37"/>
      <c r="H192" s="34">
        <v>102561.19716559918</v>
      </c>
      <c r="I192" s="37"/>
      <c r="J192" s="38">
        <v>38525.721064968311</v>
      </c>
      <c r="K192" s="38">
        <v>6734.5584023646024</v>
      </c>
      <c r="L192" s="38">
        <v>28217.643711668308</v>
      </c>
      <c r="M192" s="38">
        <v>11188.522621503629</v>
      </c>
      <c r="N192" s="38">
        <v>40085.737032506724</v>
      </c>
      <c r="O192" s="38">
        <v>14487.583766499287</v>
      </c>
      <c r="P192" s="38">
        <v>25879.461700547326</v>
      </c>
      <c r="Q192" s="38">
        <v>17384.312652311084</v>
      </c>
      <c r="R192" s="37"/>
      <c r="S192" s="34">
        <v>182503.54095236925</v>
      </c>
      <c r="T192" s="36"/>
      <c r="U192" s="35">
        <v>2656.9681129787355</v>
      </c>
      <c r="V192" s="34">
        <v>282407.7700049897</v>
      </c>
      <c r="W192" s="31">
        <v>16900.711598611251</v>
      </c>
      <c r="X192" s="31">
        <v>4114.1735086931285</v>
      </c>
      <c r="Y192" s="31">
        <v>10504.635227201445</v>
      </c>
      <c r="Z192" s="31">
        <v>31519.520334505825</v>
      </c>
      <c r="AA192" s="33">
        <v>313927.29033949552</v>
      </c>
      <c r="AB192" s="32"/>
      <c r="AC192" s="31"/>
      <c r="AE192" s="39"/>
      <c r="AG192" s="19"/>
      <c r="AH192" s="19"/>
      <c r="AI192" s="19"/>
      <c r="AJ192" s="19"/>
      <c r="AK192" s="19"/>
      <c r="AL192" s="19"/>
      <c r="AM192" s="19"/>
      <c r="AN192" s="19"/>
      <c r="AP192" s="19"/>
      <c r="AQ192" s="21"/>
      <c r="AR192" s="21"/>
      <c r="AS192" s="21"/>
      <c r="AT192" s="19"/>
      <c r="AU192" s="21"/>
      <c r="AV192" s="19"/>
      <c r="AW192" s="19"/>
      <c r="AZ192" s="19"/>
      <c r="BA192" s="19"/>
      <c r="BB192" s="19"/>
      <c r="BC192" s="19"/>
      <c r="BD192" s="19"/>
      <c r="BE192" s="19"/>
      <c r="BF192" s="19"/>
      <c r="BG192" s="19"/>
      <c r="BH192" s="19"/>
      <c r="BJ192" s="19"/>
      <c r="BK192" s="19"/>
      <c r="BL192" s="21"/>
      <c r="BM192" s="19"/>
      <c r="BN192" s="19"/>
      <c r="BO192" s="19"/>
      <c r="BP192" s="21"/>
      <c r="BQ192" s="19"/>
      <c r="BR192" s="19"/>
      <c r="BS192" s="19"/>
      <c r="BT192" s="20"/>
      <c r="BU192" s="19"/>
      <c r="BV192" s="19"/>
    </row>
    <row r="193" spans="1:74" ht="13.5" customHeight="1">
      <c r="A193" s="17" t="s">
        <v>24</v>
      </c>
      <c r="B193" s="38">
        <v>13885.951565551983</v>
      </c>
      <c r="C193" s="38">
        <v>4981.0127051494592</v>
      </c>
      <c r="D193" s="38">
        <v>45928.659452435058</v>
      </c>
      <c r="E193" s="38">
        <v>8670.5273042303179</v>
      </c>
      <c r="F193" s="38">
        <v>18262.460326477783</v>
      </c>
      <c r="G193" s="37"/>
      <c r="H193" s="34">
        <v>91728.611353844608</v>
      </c>
      <c r="I193" s="37"/>
      <c r="J193" s="38">
        <v>37445.124847392872</v>
      </c>
      <c r="K193" s="38">
        <v>7194.9656124246067</v>
      </c>
      <c r="L193" s="38">
        <v>28681.8156317926</v>
      </c>
      <c r="M193" s="38">
        <v>11328.292304231805</v>
      </c>
      <c r="N193" s="38">
        <v>43885.486128692799</v>
      </c>
      <c r="O193" s="38">
        <v>15247.675760271002</v>
      </c>
      <c r="P193" s="38">
        <v>26613.152039313551</v>
      </c>
      <c r="Q193" s="38">
        <v>17825.640009708786</v>
      </c>
      <c r="R193" s="37"/>
      <c r="S193" s="34">
        <v>188222.15233382801</v>
      </c>
      <c r="T193" s="36"/>
      <c r="U193" s="35">
        <v>2588.3906471165724</v>
      </c>
      <c r="V193" s="34">
        <v>277362.37304055603</v>
      </c>
      <c r="W193" s="31">
        <v>17882.277571194525</v>
      </c>
      <c r="X193" s="31">
        <v>4022.8469178914356</v>
      </c>
      <c r="Y193" s="31">
        <v>11325.582951319659</v>
      </c>
      <c r="Z193" s="31">
        <v>33230.707440405618</v>
      </c>
      <c r="AA193" s="33">
        <v>310593.08048096165</v>
      </c>
      <c r="AB193" s="32"/>
      <c r="AC193" s="31"/>
      <c r="AE193" s="39"/>
      <c r="AG193" s="19"/>
      <c r="AH193" s="19"/>
      <c r="AI193" s="19"/>
      <c r="AJ193" s="19"/>
      <c r="AK193" s="19"/>
      <c r="AL193" s="19"/>
      <c r="AM193" s="19"/>
      <c r="AN193" s="19"/>
      <c r="AP193" s="19"/>
      <c r="AQ193" s="21"/>
      <c r="AR193" s="21"/>
      <c r="AS193" s="21"/>
      <c r="AT193" s="19"/>
      <c r="AU193" s="21"/>
      <c r="AV193" s="19"/>
      <c r="AW193" s="19"/>
      <c r="AZ193" s="19"/>
      <c r="BA193" s="19"/>
      <c r="BB193" s="19"/>
      <c r="BC193" s="19"/>
      <c r="BD193" s="19"/>
      <c r="BE193" s="19"/>
      <c r="BF193" s="19"/>
      <c r="BG193" s="19"/>
      <c r="BH193" s="19"/>
      <c r="BJ193" s="19"/>
      <c r="BK193" s="19"/>
      <c r="BL193" s="21"/>
      <c r="BM193" s="19"/>
      <c r="BN193" s="19"/>
      <c r="BO193" s="19"/>
      <c r="BP193" s="21"/>
      <c r="BQ193" s="19"/>
      <c r="BR193" s="19"/>
      <c r="BS193" s="19"/>
      <c r="BT193" s="20"/>
      <c r="BU193" s="19"/>
      <c r="BV193" s="19"/>
    </row>
    <row r="194" spans="1:74" ht="12.75" customHeight="1">
      <c r="A194" s="17" t="s">
        <v>23</v>
      </c>
      <c r="B194" s="38">
        <v>12563.523515234916</v>
      </c>
      <c r="C194" s="38">
        <v>5031.3642296923499</v>
      </c>
      <c r="D194" s="38">
        <v>48780.842500878673</v>
      </c>
      <c r="E194" s="38">
        <v>8001.4615983513977</v>
      </c>
      <c r="F194" s="38">
        <v>20722.014621282233</v>
      </c>
      <c r="G194" s="37"/>
      <c r="H194" s="34">
        <v>95099.206465439565</v>
      </c>
      <c r="I194" s="37"/>
      <c r="J194" s="38">
        <v>38435.177139532512</v>
      </c>
      <c r="K194" s="38">
        <v>7803.7483818862556</v>
      </c>
      <c r="L194" s="38">
        <v>30618.418527628357</v>
      </c>
      <c r="M194" s="38">
        <v>11774.489728397655</v>
      </c>
      <c r="N194" s="38">
        <v>43657.055888801311</v>
      </c>
      <c r="O194" s="38">
        <v>15004.646910340687</v>
      </c>
      <c r="P194" s="38">
        <v>25638.097015684853</v>
      </c>
      <c r="Q194" s="38">
        <v>18828.463475141863</v>
      </c>
      <c r="R194" s="37"/>
      <c r="S194" s="34">
        <v>191760.0970674135</v>
      </c>
      <c r="T194" s="36"/>
      <c r="U194" s="35">
        <v>2876.57343158291</v>
      </c>
      <c r="V194" s="34">
        <v>283982.73010127019</v>
      </c>
      <c r="W194" s="31">
        <v>19544.637228170744</v>
      </c>
      <c r="X194" s="31">
        <v>4252.4336638931727</v>
      </c>
      <c r="Y194" s="31">
        <v>12159.439818936791</v>
      </c>
      <c r="Z194" s="31">
        <v>35956.510711000708</v>
      </c>
      <c r="AA194" s="33">
        <v>319939.2408122709</v>
      </c>
      <c r="AB194" s="32"/>
      <c r="AC194" s="31"/>
      <c r="AE194" s="30"/>
      <c r="AG194" s="19"/>
      <c r="AH194" s="19"/>
      <c r="AI194" s="19"/>
      <c r="AJ194" s="19"/>
      <c r="AK194" s="19"/>
      <c r="AL194" s="19"/>
      <c r="AM194" s="19"/>
      <c r="AN194" s="19"/>
      <c r="AP194" s="19"/>
      <c r="AQ194" s="21"/>
      <c r="AR194" s="21"/>
      <c r="AS194" s="21"/>
      <c r="AT194" s="19"/>
      <c r="AU194" s="21"/>
      <c r="AV194" s="19"/>
      <c r="AW194" s="19"/>
      <c r="AZ194" s="19"/>
      <c r="BA194" s="19"/>
      <c r="BB194" s="19"/>
      <c r="BC194" s="19"/>
      <c r="BD194" s="19"/>
      <c r="BE194" s="19"/>
      <c r="BF194" s="19"/>
      <c r="BG194" s="19"/>
      <c r="BH194" s="19"/>
      <c r="BJ194" s="19"/>
      <c r="BK194" s="19"/>
      <c r="BL194" s="21"/>
      <c r="BM194" s="19"/>
      <c r="BN194" s="19"/>
      <c r="BO194" s="19"/>
      <c r="BP194" s="21"/>
      <c r="BQ194" s="19"/>
      <c r="BR194" s="19"/>
      <c r="BS194" s="19"/>
      <c r="BT194" s="20"/>
      <c r="BU194" s="19"/>
      <c r="BV194" s="19"/>
    </row>
    <row r="195" spans="1:74" ht="13.5" customHeight="1">
      <c r="A195" s="28"/>
      <c r="B195" s="29"/>
      <c r="C195" s="28"/>
      <c r="D195" s="28"/>
      <c r="E195" s="28"/>
      <c r="F195" s="28"/>
      <c r="G195" s="28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8"/>
      <c r="U195" s="26"/>
      <c r="V195" s="27"/>
      <c r="W195" s="26"/>
      <c r="X195" s="26"/>
      <c r="Y195" s="26"/>
      <c r="Z195" s="26"/>
      <c r="AA195" s="25"/>
      <c r="AB195" s="17"/>
      <c r="AR195" s="23"/>
      <c r="AU195" s="23"/>
    </row>
    <row r="196" spans="1:74" ht="12">
      <c r="AB196" s="17"/>
      <c r="AR196" s="23"/>
      <c r="AU196" s="23"/>
    </row>
    <row r="197" spans="1:74">
      <c r="A197" s="24" t="s">
        <v>22</v>
      </c>
      <c r="AG197" s="19"/>
      <c r="AH197" s="19"/>
      <c r="AI197" s="19"/>
      <c r="AJ197" s="19"/>
      <c r="AK197" s="19"/>
      <c r="AL197" s="19"/>
      <c r="AM197" s="19"/>
      <c r="AN197" s="19"/>
      <c r="AP197" s="19"/>
      <c r="AQ197" s="21"/>
      <c r="AR197" s="21"/>
      <c r="AS197" s="21"/>
      <c r="AT197" s="19"/>
      <c r="AU197" s="21"/>
      <c r="AV197" s="19"/>
      <c r="AW197" s="19"/>
      <c r="AZ197" s="19"/>
      <c r="BA197" s="19"/>
      <c r="BB197" s="19"/>
      <c r="BC197" s="19"/>
      <c r="BD197" s="19"/>
      <c r="BE197" s="19"/>
      <c r="BF197" s="19"/>
      <c r="BG197" s="19"/>
      <c r="BH197" s="19"/>
      <c r="BJ197" s="19"/>
      <c r="BK197" s="19"/>
      <c r="BL197" s="21"/>
      <c r="BM197" s="19"/>
      <c r="BN197" s="19"/>
      <c r="BO197" s="19"/>
      <c r="BP197" s="21"/>
      <c r="BQ197" s="19"/>
      <c r="BR197" s="19"/>
      <c r="BS197" s="19"/>
      <c r="BT197" s="20"/>
      <c r="BU197" s="19"/>
      <c r="BV197" s="19"/>
    </row>
    <row r="198" spans="1:74">
      <c r="A198" s="23" t="s">
        <v>21</v>
      </c>
      <c r="AG198" s="19"/>
      <c r="AH198" s="19"/>
      <c r="AI198" s="19"/>
      <c r="AJ198" s="19"/>
      <c r="AK198" s="19"/>
      <c r="AL198" s="19"/>
      <c r="AM198" s="19"/>
      <c r="AN198" s="19"/>
      <c r="AP198" s="19"/>
      <c r="AQ198" s="21"/>
      <c r="AR198" s="21"/>
      <c r="AS198" s="21"/>
      <c r="AT198" s="19"/>
      <c r="AU198" s="21"/>
      <c r="AV198" s="19"/>
      <c r="AW198" s="19"/>
      <c r="AZ198" s="19"/>
      <c r="BA198" s="19"/>
      <c r="BB198" s="19"/>
      <c r="BC198" s="19"/>
      <c r="BD198" s="19"/>
      <c r="BE198" s="19"/>
      <c r="BF198" s="19"/>
      <c r="BG198" s="19"/>
      <c r="BH198" s="19"/>
      <c r="BJ198" s="19"/>
      <c r="BK198" s="19"/>
      <c r="BL198" s="21"/>
      <c r="BM198" s="19"/>
      <c r="BN198" s="19"/>
      <c r="BO198" s="19"/>
      <c r="BP198" s="21"/>
      <c r="BQ198" s="19"/>
      <c r="BR198" s="19"/>
      <c r="BS198" s="19"/>
      <c r="BT198" s="20"/>
      <c r="BU198" s="19"/>
      <c r="BV198" s="19"/>
    </row>
    <row r="199" spans="1:74">
      <c r="A199" s="22" t="s">
        <v>20</v>
      </c>
      <c r="AG199" s="19"/>
      <c r="AH199" s="19"/>
      <c r="AI199" s="19"/>
      <c r="AJ199" s="19"/>
      <c r="AK199" s="19"/>
      <c r="AL199" s="19"/>
      <c r="AM199" s="19"/>
      <c r="AN199" s="19"/>
      <c r="AP199" s="19"/>
      <c r="AQ199" s="21"/>
      <c r="AR199" s="21"/>
      <c r="AS199" s="21"/>
      <c r="AT199" s="19"/>
      <c r="AU199" s="21"/>
      <c r="AV199" s="19"/>
      <c r="AW199" s="19"/>
      <c r="AZ199" s="19"/>
      <c r="BA199" s="19"/>
      <c r="BB199" s="19"/>
      <c r="BC199" s="19"/>
      <c r="BD199" s="19"/>
      <c r="BE199" s="19"/>
      <c r="BF199" s="19"/>
      <c r="BG199" s="19"/>
      <c r="BH199" s="19"/>
      <c r="BJ199" s="19"/>
      <c r="BK199" s="19"/>
      <c r="BL199" s="21"/>
      <c r="BM199" s="19"/>
      <c r="BN199" s="19"/>
      <c r="BO199" s="19"/>
      <c r="BP199" s="21"/>
      <c r="BQ199" s="19"/>
      <c r="BR199" s="19"/>
      <c r="BS199" s="19"/>
      <c r="BT199" s="20"/>
      <c r="BU199" s="19"/>
      <c r="BV199" s="19"/>
    </row>
    <row r="200" spans="1:74" ht="12">
      <c r="A200" s="17"/>
      <c r="AG200" s="19"/>
      <c r="AH200" s="19"/>
      <c r="AI200" s="19"/>
      <c r="AJ200" s="19"/>
      <c r="AK200" s="19"/>
      <c r="AL200" s="19"/>
      <c r="AM200" s="19"/>
      <c r="AN200" s="19"/>
      <c r="AP200" s="19"/>
      <c r="AQ200" s="21"/>
      <c r="AR200" s="21"/>
      <c r="AS200" s="21"/>
      <c r="AT200" s="19"/>
      <c r="AU200" s="21"/>
      <c r="AV200" s="19"/>
      <c r="AW200" s="19"/>
      <c r="AZ200" s="19"/>
      <c r="BA200" s="19"/>
      <c r="BB200" s="19"/>
      <c r="BC200" s="19"/>
      <c r="BD200" s="19"/>
      <c r="BE200" s="19"/>
      <c r="BF200" s="19"/>
      <c r="BG200" s="19"/>
      <c r="BH200" s="19"/>
      <c r="BJ200" s="19"/>
      <c r="BK200" s="19"/>
      <c r="BL200" s="21"/>
      <c r="BM200" s="19"/>
      <c r="BN200" s="19"/>
      <c r="BO200" s="19"/>
      <c r="BP200" s="21"/>
      <c r="BQ200" s="19"/>
      <c r="BR200" s="19"/>
      <c r="BS200" s="19"/>
      <c r="BT200" s="20"/>
      <c r="BU200" s="19"/>
      <c r="BV200" s="19"/>
    </row>
    <row r="201" spans="1:74" ht="12">
      <c r="A201" s="18" t="s">
        <v>19</v>
      </c>
    </row>
    <row r="202" spans="1:74" ht="12">
      <c r="A202" s="17"/>
    </row>
    <row r="203" spans="1:74">
      <c r="A203" s="12"/>
    </row>
    <row r="208" spans="1:74" ht="13.2">
      <c r="Z208" s="15"/>
    </row>
    <row r="209" spans="1:27" ht="13.2">
      <c r="A209" s="16"/>
      <c r="B209" s="16"/>
      <c r="C209" s="16"/>
      <c r="D209" s="16"/>
      <c r="E209" s="16"/>
      <c r="F209" s="16"/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6"/>
      <c r="U209" s="15"/>
      <c r="V209" s="15"/>
      <c r="W209" s="15"/>
      <c r="X209" s="15"/>
      <c r="Y209" s="15"/>
      <c r="Z209" s="15"/>
      <c r="AA209" s="15"/>
    </row>
    <row r="210" spans="1:27" ht="13.2">
      <c r="A210" s="16"/>
      <c r="B210" s="16"/>
      <c r="C210" s="16"/>
      <c r="D210" s="16"/>
      <c r="E210" s="16"/>
      <c r="F210" s="16"/>
      <c r="G210" s="1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6"/>
      <c r="U210" s="15"/>
      <c r="V210" s="15"/>
      <c r="W210" s="15"/>
      <c r="X210" s="15"/>
      <c r="Y210" s="15"/>
      <c r="AA210" s="15"/>
    </row>
  </sheetData>
  <pageMargins left="0.75" right="0.75" top="1" bottom="1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8B86-20E1-4BF9-85EC-1DB6FF3D82C6}">
  <dimension ref="A1:Q95"/>
  <sheetViews>
    <sheetView zoomScaleNormal="100" workbookViewId="0">
      <pane ySplit="8" topLeftCell="A9" activePane="bottomLeft" state="frozen"/>
      <selection activeCell="J19" sqref="J19:N43"/>
      <selection pane="bottomLeft" activeCell="Q9" sqref="Q9"/>
    </sheetView>
  </sheetViews>
  <sheetFormatPr baseColWidth="10" defaultColWidth="11.44140625" defaultRowHeight="13.8"/>
  <cols>
    <col min="1" max="1" width="63.6640625" style="108" customWidth="1"/>
    <col min="2" max="2" width="9" style="108" bestFit="1" customWidth="1"/>
    <col min="3" max="17" width="8.5546875" style="108" customWidth="1"/>
    <col min="18" max="256" width="11.44140625" style="108"/>
    <col min="257" max="257" width="63.6640625" style="108" customWidth="1"/>
    <col min="258" max="258" width="9" style="108" bestFit="1" customWidth="1"/>
    <col min="259" max="273" width="8.5546875" style="108" customWidth="1"/>
    <col min="274" max="512" width="11.44140625" style="108"/>
    <col min="513" max="513" width="63.6640625" style="108" customWidth="1"/>
    <col min="514" max="514" width="9" style="108" bestFit="1" customWidth="1"/>
    <col min="515" max="529" width="8.5546875" style="108" customWidth="1"/>
    <col min="530" max="768" width="11.44140625" style="108"/>
    <col min="769" max="769" width="63.6640625" style="108" customWidth="1"/>
    <col min="770" max="770" width="9" style="108" bestFit="1" customWidth="1"/>
    <col min="771" max="785" width="8.5546875" style="108" customWidth="1"/>
    <col min="786" max="1024" width="11.44140625" style="108"/>
    <col min="1025" max="1025" width="63.6640625" style="108" customWidth="1"/>
    <col min="1026" max="1026" width="9" style="108" bestFit="1" customWidth="1"/>
    <col min="1027" max="1041" width="8.5546875" style="108" customWidth="1"/>
    <col min="1042" max="1280" width="11.44140625" style="108"/>
    <col min="1281" max="1281" width="63.6640625" style="108" customWidth="1"/>
    <col min="1282" max="1282" width="9" style="108" bestFit="1" customWidth="1"/>
    <col min="1283" max="1297" width="8.5546875" style="108" customWidth="1"/>
    <col min="1298" max="1536" width="11.44140625" style="108"/>
    <col min="1537" max="1537" width="63.6640625" style="108" customWidth="1"/>
    <col min="1538" max="1538" width="9" style="108" bestFit="1" customWidth="1"/>
    <col min="1539" max="1553" width="8.5546875" style="108" customWidth="1"/>
    <col min="1554" max="1792" width="11.44140625" style="108"/>
    <col min="1793" max="1793" width="63.6640625" style="108" customWidth="1"/>
    <col min="1794" max="1794" width="9" style="108" bestFit="1" customWidth="1"/>
    <col min="1795" max="1809" width="8.5546875" style="108" customWidth="1"/>
    <col min="1810" max="2048" width="11.44140625" style="108"/>
    <col min="2049" max="2049" width="63.6640625" style="108" customWidth="1"/>
    <col min="2050" max="2050" width="9" style="108" bestFit="1" customWidth="1"/>
    <col min="2051" max="2065" width="8.5546875" style="108" customWidth="1"/>
    <col min="2066" max="2304" width="11.44140625" style="108"/>
    <col min="2305" max="2305" width="63.6640625" style="108" customWidth="1"/>
    <col min="2306" max="2306" width="9" style="108" bestFit="1" customWidth="1"/>
    <col min="2307" max="2321" width="8.5546875" style="108" customWidth="1"/>
    <col min="2322" max="2560" width="11.44140625" style="108"/>
    <col min="2561" max="2561" width="63.6640625" style="108" customWidth="1"/>
    <col min="2562" max="2562" width="9" style="108" bestFit="1" customWidth="1"/>
    <col min="2563" max="2577" width="8.5546875" style="108" customWidth="1"/>
    <col min="2578" max="2816" width="11.44140625" style="108"/>
    <col min="2817" max="2817" width="63.6640625" style="108" customWidth="1"/>
    <col min="2818" max="2818" width="9" style="108" bestFit="1" customWidth="1"/>
    <col min="2819" max="2833" width="8.5546875" style="108" customWidth="1"/>
    <col min="2834" max="3072" width="11.44140625" style="108"/>
    <col min="3073" max="3073" width="63.6640625" style="108" customWidth="1"/>
    <col min="3074" max="3074" width="9" style="108" bestFit="1" customWidth="1"/>
    <col min="3075" max="3089" width="8.5546875" style="108" customWidth="1"/>
    <col min="3090" max="3328" width="11.44140625" style="108"/>
    <col min="3329" max="3329" width="63.6640625" style="108" customWidth="1"/>
    <col min="3330" max="3330" width="9" style="108" bestFit="1" customWidth="1"/>
    <col min="3331" max="3345" width="8.5546875" style="108" customWidth="1"/>
    <col min="3346" max="3584" width="11.44140625" style="108"/>
    <col min="3585" max="3585" width="63.6640625" style="108" customWidth="1"/>
    <col min="3586" max="3586" width="9" style="108" bestFit="1" customWidth="1"/>
    <col min="3587" max="3601" width="8.5546875" style="108" customWidth="1"/>
    <col min="3602" max="3840" width="11.44140625" style="108"/>
    <col min="3841" max="3841" width="63.6640625" style="108" customWidth="1"/>
    <col min="3842" max="3842" width="9" style="108" bestFit="1" customWidth="1"/>
    <col min="3843" max="3857" width="8.5546875" style="108" customWidth="1"/>
    <col min="3858" max="4096" width="11.44140625" style="108"/>
    <col min="4097" max="4097" width="63.6640625" style="108" customWidth="1"/>
    <col min="4098" max="4098" width="9" style="108" bestFit="1" customWidth="1"/>
    <col min="4099" max="4113" width="8.5546875" style="108" customWidth="1"/>
    <col min="4114" max="4352" width="11.44140625" style="108"/>
    <col min="4353" max="4353" width="63.6640625" style="108" customWidth="1"/>
    <col min="4354" max="4354" width="9" style="108" bestFit="1" customWidth="1"/>
    <col min="4355" max="4369" width="8.5546875" style="108" customWidth="1"/>
    <col min="4370" max="4608" width="11.44140625" style="108"/>
    <col min="4609" max="4609" width="63.6640625" style="108" customWidth="1"/>
    <col min="4610" max="4610" width="9" style="108" bestFit="1" customWidth="1"/>
    <col min="4611" max="4625" width="8.5546875" style="108" customWidth="1"/>
    <col min="4626" max="4864" width="11.44140625" style="108"/>
    <col min="4865" max="4865" width="63.6640625" style="108" customWidth="1"/>
    <col min="4866" max="4866" width="9" style="108" bestFit="1" customWidth="1"/>
    <col min="4867" max="4881" width="8.5546875" style="108" customWidth="1"/>
    <col min="4882" max="5120" width="11.44140625" style="108"/>
    <col min="5121" max="5121" width="63.6640625" style="108" customWidth="1"/>
    <col min="5122" max="5122" width="9" style="108" bestFit="1" customWidth="1"/>
    <col min="5123" max="5137" width="8.5546875" style="108" customWidth="1"/>
    <col min="5138" max="5376" width="11.44140625" style="108"/>
    <col min="5377" max="5377" width="63.6640625" style="108" customWidth="1"/>
    <col min="5378" max="5378" width="9" style="108" bestFit="1" customWidth="1"/>
    <col min="5379" max="5393" width="8.5546875" style="108" customWidth="1"/>
    <col min="5394" max="5632" width="11.44140625" style="108"/>
    <col min="5633" max="5633" width="63.6640625" style="108" customWidth="1"/>
    <col min="5634" max="5634" width="9" style="108" bestFit="1" customWidth="1"/>
    <col min="5635" max="5649" width="8.5546875" style="108" customWidth="1"/>
    <col min="5650" max="5888" width="11.44140625" style="108"/>
    <col min="5889" max="5889" width="63.6640625" style="108" customWidth="1"/>
    <col min="5890" max="5890" width="9" style="108" bestFit="1" customWidth="1"/>
    <col min="5891" max="5905" width="8.5546875" style="108" customWidth="1"/>
    <col min="5906" max="6144" width="11.44140625" style="108"/>
    <col min="6145" max="6145" width="63.6640625" style="108" customWidth="1"/>
    <col min="6146" max="6146" width="9" style="108" bestFit="1" customWidth="1"/>
    <col min="6147" max="6161" width="8.5546875" style="108" customWidth="1"/>
    <col min="6162" max="6400" width="11.44140625" style="108"/>
    <col min="6401" max="6401" width="63.6640625" style="108" customWidth="1"/>
    <col min="6402" max="6402" width="9" style="108" bestFit="1" customWidth="1"/>
    <col min="6403" max="6417" width="8.5546875" style="108" customWidth="1"/>
    <col min="6418" max="6656" width="11.44140625" style="108"/>
    <col min="6657" max="6657" width="63.6640625" style="108" customWidth="1"/>
    <col min="6658" max="6658" width="9" style="108" bestFit="1" customWidth="1"/>
    <col min="6659" max="6673" width="8.5546875" style="108" customWidth="1"/>
    <col min="6674" max="6912" width="11.44140625" style="108"/>
    <col min="6913" max="6913" width="63.6640625" style="108" customWidth="1"/>
    <col min="6914" max="6914" width="9" style="108" bestFit="1" customWidth="1"/>
    <col min="6915" max="6929" width="8.5546875" style="108" customWidth="1"/>
    <col min="6930" max="7168" width="11.44140625" style="108"/>
    <col min="7169" max="7169" width="63.6640625" style="108" customWidth="1"/>
    <col min="7170" max="7170" width="9" style="108" bestFit="1" customWidth="1"/>
    <col min="7171" max="7185" width="8.5546875" style="108" customWidth="1"/>
    <col min="7186" max="7424" width="11.44140625" style="108"/>
    <col min="7425" max="7425" width="63.6640625" style="108" customWidth="1"/>
    <col min="7426" max="7426" width="9" style="108" bestFit="1" customWidth="1"/>
    <col min="7427" max="7441" width="8.5546875" style="108" customWidth="1"/>
    <col min="7442" max="7680" width="11.44140625" style="108"/>
    <col min="7681" max="7681" width="63.6640625" style="108" customWidth="1"/>
    <col min="7682" max="7682" width="9" style="108" bestFit="1" customWidth="1"/>
    <col min="7683" max="7697" width="8.5546875" style="108" customWidth="1"/>
    <col min="7698" max="7936" width="11.44140625" style="108"/>
    <col min="7937" max="7937" width="63.6640625" style="108" customWidth="1"/>
    <col min="7938" max="7938" width="9" style="108" bestFit="1" customWidth="1"/>
    <col min="7939" max="7953" width="8.5546875" style="108" customWidth="1"/>
    <col min="7954" max="8192" width="11.44140625" style="108"/>
    <col min="8193" max="8193" width="63.6640625" style="108" customWidth="1"/>
    <col min="8194" max="8194" width="9" style="108" bestFit="1" customWidth="1"/>
    <col min="8195" max="8209" width="8.5546875" style="108" customWidth="1"/>
    <col min="8210" max="8448" width="11.44140625" style="108"/>
    <col min="8449" max="8449" width="63.6640625" style="108" customWidth="1"/>
    <col min="8450" max="8450" width="9" style="108" bestFit="1" customWidth="1"/>
    <col min="8451" max="8465" width="8.5546875" style="108" customWidth="1"/>
    <col min="8466" max="8704" width="11.44140625" style="108"/>
    <col min="8705" max="8705" width="63.6640625" style="108" customWidth="1"/>
    <col min="8706" max="8706" width="9" style="108" bestFit="1" customWidth="1"/>
    <col min="8707" max="8721" width="8.5546875" style="108" customWidth="1"/>
    <col min="8722" max="8960" width="11.44140625" style="108"/>
    <col min="8961" max="8961" width="63.6640625" style="108" customWidth="1"/>
    <col min="8962" max="8962" width="9" style="108" bestFit="1" customWidth="1"/>
    <col min="8963" max="8977" width="8.5546875" style="108" customWidth="1"/>
    <col min="8978" max="9216" width="11.44140625" style="108"/>
    <col min="9217" max="9217" width="63.6640625" style="108" customWidth="1"/>
    <col min="9218" max="9218" width="9" style="108" bestFit="1" customWidth="1"/>
    <col min="9219" max="9233" width="8.5546875" style="108" customWidth="1"/>
    <col min="9234" max="9472" width="11.44140625" style="108"/>
    <col min="9473" max="9473" width="63.6640625" style="108" customWidth="1"/>
    <col min="9474" max="9474" width="9" style="108" bestFit="1" customWidth="1"/>
    <col min="9475" max="9489" width="8.5546875" style="108" customWidth="1"/>
    <col min="9490" max="9728" width="11.44140625" style="108"/>
    <col min="9729" max="9729" width="63.6640625" style="108" customWidth="1"/>
    <col min="9730" max="9730" width="9" style="108" bestFit="1" customWidth="1"/>
    <col min="9731" max="9745" width="8.5546875" style="108" customWidth="1"/>
    <col min="9746" max="9984" width="11.44140625" style="108"/>
    <col min="9985" max="9985" width="63.6640625" style="108" customWidth="1"/>
    <col min="9986" max="9986" width="9" style="108" bestFit="1" customWidth="1"/>
    <col min="9987" max="10001" width="8.5546875" style="108" customWidth="1"/>
    <col min="10002" max="10240" width="11.44140625" style="108"/>
    <col min="10241" max="10241" width="63.6640625" style="108" customWidth="1"/>
    <col min="10242" max="10242" width="9" style="108" bestFit="1" customWidth="1"/>
    <col min="10243" max="10257" width="8.5546875" style="108" customWidth="1"/>
    <col min="10258" max="10496" width="11.44140625" style="108"/>
    <col min="10497" max="10497" width="63.6640625" style="108" customWidth="1"/>
    <col min="10498" max="10498" width="9" style="108" bestFit="1" customWidth="1"/>
    <col min="10499" max="10513" width="8.5546875" style="108" customWidth="1"/>
    <col min="10514" max="10752" width="11.44140625" style="108"/>
    <col min="10753" max="10753" width="63.6640625" style="108" customWidth="1"/>
    <col min="10754" max="10754" width="9" style="108" bestFit="1" customWidth="1"/>
    <col min="10755" max="10769" width="8.5546875" style="108" customWidth="1"/>
    <col min="10770" max="11008" width="11.44140625" style="108"/>
    <col min="11009" max="11009" width="63.6640625" style="108" customWidth="1"/>
    <col min="11010" max="11010" width="9" style="108" bestFit="1" customWidth="1"/>
    <col min="11011" max="11025" width="8.5546875" style="108" customWidth="1"/>
    <col min="11026" max="11264" width="11.44140625" style="108"/>
    <col min="11265" max="11265" width="63.6640625" style="108" customWidth="1"/>
    <col min="11266" max="11266" width="9" style="108" bestFit="1" customWidth="1"/>
    <col min="11267" max="11281" width="8.5546875" style="108" customWidth="1"/>
    <col min="11282" max="11520" width="11.44140625" style="108"/>
    <col min="11521" max="11521" width="63.6640625" style="108" customWidth="1"/>
    <col min="11522" max="11522" width="9" style="108" bestFit="1" customWidth="1"/>
    <col min="11523" max="11537" width="8.5546875" style="108" customWidth="1"/>
    <col min="11538" max="11776" width="11.44140625" style="108"/>
    <col min="11777" max="11777" width="63.6640625" style="108" customWidth="1"/>
    <col min="11778" max="11778" width="9" style="108" bestFit="1" customWidth="1"/>
    <col min="11779" max="11793" width="8.5546875" style="108" customWidth="1"/>
    <col min="11794" max="12032" width="11.44140625" style="108"/>
    <col min="12033" max="12033" width="63.6640625" style="108" customWidth="1"/>
    <col min="12034" max="12034" width="9" style="108" bestFit="1" customWidth="1"/>
    <col min="12035" max="12049" width="8.5546875" style="108" customWidth="1"/>
    <col min="12050" max="12288" width="11.44140625" style="108"/>
    <col min="12289" max="12289" width="63.6640625" style="108" customWidth="1"/>
    <col min="12290" max="12290" width="9" style="108" bestFit="1" customWidth="1"/>
    <col min="12291" max="12305" width="8.5546875" style="108" customWidth="1"/>
    <col min="12306" max="12544" width="11.44140625" style="108"/>
    <col min="12545" max="12545" width="63.6640625" style="108" customWidth="1"/>
    <col min="12546" max="12546" width="9" style="108" bestFit="1" customWidth="1"/>
    <col min="12547" max="12561" width="8.5546875" style="108" customWidth="1"/>
    <col min="12562" max="12800" width="11.44140625" style="108"/>
    <col min="12801" max="12801" width="63.6640625" style="108" customWidth="1"/>
    <col min="12802" max="12802" width="9" style="108" bestFit="1" customWidth="1"/>
    <col min="12803" max="12817" width="8.5546875" style="108" customWidth="1"/>
    <col min="12818" max="13056" width="11.44140625" style="108"/>
    <col min="13057" max="13057" width="63.6640625" style="108" customWidth="1"/>
    <col min="13058" max="13058" width="9" style="108" bestFit="1" customWidth="1"/>
    <col min="13059" max="13073" width="8.5546875" style="108" customWidth="1"/>
    <col min="13074" max="13312" width="11.44140625" style="108"/>
    <col min="13313" max="13313" width="63.6640625" style="108" customWidth="1"/>
    <col min="13314" max="13314" width="9" style="108" bestFit="1" customWidth="1"/>
    <col min="13315" max="13329" width="8.5546875" style="108" customWidth="1"/>
    <col min="13330" max="13568" width="11.44140625" style="108"/>
    <col min="13569" max="13569" width="63.6640625" style="108" customWidth="1"/>
    <col min="13570" max="13570" width="9" style="108" bestFit="1" customWidth="1"/>
    <col min="13571" max="13585" width="8.5546875" style="108" customWidth="1"/>
    <col min="13586" max="13824" width="11.44140625" style="108"/>
    <col min="13825" max="13825" width="63.6640625" style="108" customWidth="1"/>
    <col min="13826" max="13826" width="9" style="108" bestFit="1" customWidth="1"/>
    <col min="13827" max="13841" width="8.5546875" style="108" customWidth="1"/>
    <col min="13842" max="14080" width="11.44140625" style="108"/>
    <col min="14081" max="14081" width="63.6640625" style="108" customWidth="1"/>
    <col min="14082" max="14082" width="9" style="108" bestFit="1" customWidth="1"/>
    <col min="14083" max="14097" width="8.5546875" style="108" customWidth="1"/>
    <col min="14098" max="14336" width="11.44140625" style="108"/>
    <col min="14337" max="14337" width="63.6640625" style="108" customWidth="1"/>
    <col min="14338" max="14338" width="9" style="108" bestFit="1" customWidth="1"/>
    <col min="14339" max="14353" width="8.5546875" style="108" customWidth="1"/>
    <col min="14354" max="14592" width="11.44140625" style="108"/>
    <col min="14593" max="14593" width="63.6640625" style="108" customWidth="1"/>
    <col min="14594" max="14594" width="9" style="108" bestFit="1" customWidth="1"/>
    <col min="14595" max="14609" width="8.5546875" style="108" customWidth="1"/>
    <col min="14610" max="14848" width="11.44140625" style="108"/>
    <col min="14849" max="14849" width="63.6640625" style="108" customWidth="1"/>
    <col min="14850" max="14850" width="9" style="108" bestFit="1" customWidth="1"/>
    <col min="14851" max="14865" width="8.5546875" style="108" customWidth="1"/>
    <col min="14866" max="15104" width="11.44140625" style="108"/>
    <col min="15105" max="15105" width="63.6640625" style="108" customWidth="1"/>
    <col min="15106" max="15106" width="9" style="108" bestFit="1" customWidth="1"/>
    <col min="15107" max="15121" width="8.5546875" style="108" customWidth="1"/>
    <col min="15122" max="15360" width="11.44140625" style="108"/>
    <col min="15361" max="15361" width="63.6640625" style="108" customWidth="1"/>
    <col min="15362" max="15362" width="9" style="108" bestFit="1" customWidth="1"/>
    <col min="15363" max="15377" width="8.5546875" style="108" customWidth="1"/>
    <col min="15378" max="15616" width="11.44140625" style="108"/>
    <col min="15617" max="15617" width="63.6640625" style="108" customWidth="1"/>
    <col min="15618" max="15618" width="9" style="108" bestFit="1" customWidth="1"/>
    <col min="15619" max="15633" width="8.5546875" style="108" customWidth="1"/>
    <col min="15634" max="15872" width="11.44140625" style="108"/>
    <col min="15873" max="15873" width="63.6640625" style="108" customWidth="1"/>
    <col min="15874" max="15874" width="9" style="108" bestFit="1" customWidth="1"/>
    <col min="15875" max="15889" width="8.5546875" style="108" customWidth="1"/>
    <col min="15890" max="16128" width="11.44140625" style="108"/>
    <col min="16129" max="16129" width="63.6640625" style="108" customWidth="1"/>
    <col min="16130" max="16130" width="9" style="108" bestFit="1" customWidth="1"/>
    <col min="16131" max="16145" width="8.5546875" style="108" customWidth="1"/>
    <col min="16146" max="16384" width="11.44140625" style="108"/>
  </cols>
  <sheetData>
    <row r="1" spans="1:17">
      <c r="A1" s="12" t="s">
        <v>186</v>
      </c>
    </row>
    <row r="2" spans="1:17">
      <c r="A2" s="12" t="s">
        <v>185</v>
      </c>
    </row>
    <row r="3" spans="1:17">
      <c r="A3" s="12"/>
      <c r="Q3" s="108">
        <f>+Q4/P4</f>
        <v>0.97275799367678417</v>
      </c>
    </row>
    <row r="4" spans="1:17">
      <c r="A4" s="12"/>
      <c r="B4" s="108">
        <f t="shared" ref="B4:Q4" si="0">+B9/B5</f>
        <v>280541.777274122</v>
      </c>
      <c r="C4" s="108">
        <f t="shared" si="0"/>
        <v>305676.48702757963</v>
      </c>
      <c r="D4" s="108">
        <f t="shared" si="0"/>
        <v>331298.8352604704</v>
      </c>
      <c r="E4" s="108">
        <f t="shared" si="0"/>
        <v>359966.85455633211</v>
      </c>
      <c r="F4" s="108">
        <f t="shared" si="0"/>
        <v>372465.28883627162</v>
      </c>
      <c r="G4" s="108">
        <f t="shared" si="0"/>
        <v>350691.96026304754</v>
      </c>
      <c r="H4" s="108">
        <f t="shared" si="0"/>
        <v>387613.1786160862</v>
      </c>
      <c r="I4" s="108">
        <f t="shared" si="0"/>
        <v>412059.94207924418</v>
      </c>
      <c r="J4" s="108">
        <f t="shared" si="0"/>
        <v>406342.05115501041</v>
      </c>
      <c r="K4" s="108">
        <f t="shared" si="0"/>
        <v>415926.72271724232</v>
      </c>
      <c r="L4" s="108">
        <f t="shared" si="0"/>
        <v>405967.50821510429</v>
      </c>
      <c r="M4" s="108">
        <f t="shared" si="0"/>
        <v>415838.71295870695</v>
      </c>
      <c r="N4" s="108">
        <f t="shared" si="0"/>
        <v>404968.04954898206</v>
      </c>
      <c r="O4" s="108">
        <f t="shared" si="0"/>
        <v>416787.54201591649</v>
      </c>
      <c r="P4" s="108">
        <f t="shared" si="0"/>
        <v>405676.79321287869</v>
      </c>
      <c r="Q4" s="108">
        <f t="shared" si="0"/>
        <v>394625.34344699152</v>
      </c>
    </row>
    <row r="5" spans="1:17">
      <c r="A5" s="12"/>
      <c r="B5" s="108">
        <v>2.9750000000000001</v>
      </c>
      <c r="C5" s="108">
        <v>2.9750000000000001</v>
      </c>
      <c r="D5" s="108">
        <v>2.9750000000000001</v>
      </c>
      <c r="E5" s="108">
        <v>2.9750000000000001</v>
      </c>
      <c r="F5" s="108">
        <v>2.9750000000000001</v>
      </c>
      <c r="G5" s="108">
        <v>2.9750000000000001</v>
      </c>
      <c r="H5" s="108">
        <v>2.9750000000000001</v>
      </c>
      <c r="I5" s="108">
        <v>2.9750000000000001</v>
      </c>
      <c r="J5" s="108">
        <v>2.9750000000000001</v>
      </c>
      <c r="K5" s="108">
        <v>2.9750000000000001</v>
      </c>
      <c r="L5" s="108">
        <v>2.9750000000000001</v>
      </c>
      <c r="M5" s="108">
        <v>2.9750000000000001</v>
      </c>
      <c r="N5" s="108">
        <v>2.9750000000000001</v>
      </c>
      <c r="O5" s="108">
        <v>2.9750000000000001</v>
      </c>
      <c r="P5" s="108">
        <v>2.9750000000000001</v>
      </c>
      <c r="Q5" s="108">
        <v>2.9750000000000001</v>
      </c>
    </row>
    <row r="6" spans="1:17" s="109" customFormat="1" ht="12.75" customHeight="1">
      <c r="A6" s="121"/>
      <c r="B6" s="208">
        <v>2004</v>
      </c>
      <c r="C6" s="208">
        <v>2005</v>
      </c>
      <c r="D6" s="208">
        <v>2006</v>
      </c>
      <c r="E6" s="208">
        <v>2007</v>
      </c>
      <c r="F6" s="208">
        <v>2008</v>
      </c>
      <c r="G6" s="208">
        <v>2009</v>
      </c>
      <c r="H6" s="208">
        <v>2010</v>
      </c>
      <c r="I6" s="208">
        <v>2011</v>
      </c>
      <c r="J6" s="208">
        <v>2012</v>
      </c>
      <c r="K6" s="208">
        <v>2013</v>
      </c>
      <c r="L6" s="208">
        <v>2014</v>
      </c>
      <c r="M6" s="208">
        <v>2015</v>
      </c>
      <c r="N6" s="208">
        <v>2016</v>
      </c>
      <c r="O6" s="208" t="s">
        <v>184</v>
      </c>
      <c r="P6" s="208" t="s">
        <v>183</v>
      </c>
      <c r="Q6" s="208" t="s">
        <v>182</v>
      </c>
    </row>
    <row r="7" spans="1:17" s="109" customFormat="1" ht="12.75" customHeight="1">
      <c r="A7" s="120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</row>
    <row r="8" spans="1:17" s="109" customFormat="1" ht="12" customHeight="1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s="109" customFormat="1">
      <c r="A9" s="118" t="s">
        <v>181</v>
      </c>
      <c r="B9" s="115">
        <v>834611.787390513</v>
      </c>
      <c r="C9" s="115">
        <v>909387.54890704947</v>
      </c>
      <c r="D9" s="115">
        <v>985614.0348998995</v>
      </c>
      <c r="E9" s="115">
        <v>1070901.392305088</v>
      </c>
      <c r="F9" s="115">
        <v>1108084.2342879081</v>
      </c>
      <c r="G9" s="115">
        <v>1043308.5817825665</v>
      </c>
      <c r="H9" s="115">
        <v>1153149.2063828565</v>
      </c>
      <c r="I9" s="115">
        <v>1225878.3276857515</v>
      </c>
      <c r="J9" s="115">
        <v>1208867.602186156</v>
      </c>
      <c r="K9" s="115">
        <v>1237382.000083796</v>
      </c>
      <c r="L9" s="115">
        <v>1207753.3369399353</v>
      </c>
      <c r="M9" s="115">
        <v>1237120.1710521532</v>
      </c>
      <c r="N9" s="115">
        <v>1204779.9474082217</v>
      </c>
      <c r="O9" s="115">
        <v>1239942.9374973516</v>
      </c>
      <c r="P9" s="115">
        <v>1206888.4598083142</v>
      </c>
      <c r="Q9" s="115">
        <v>1174010.3967547999</v>
      </c>
    </row>
    <row r="10" spans="1:17" s="109" customFormat="1" ht="10.199999999999999">
      <c r="A10" s="117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7" s="117" customFormat="1" ht="12">
      <c r="A11" s="116" t="s">
        <v>180</v>
      </c>
      <c r="B11" s="115">
        <v>71848.927283146841</v>
      </c>
      <c r="C11" s="115">
        <v>81620.095543424904</v>
      </c>
      <c r="D11" s="115">
        <v>81857.423921224734</v>
      </c>
      <c r="E11" s="115">
        <v>90385.673179668665</v>
      </c>
      <c r="F11" s="115">
        <v>88366.942799569544</v>
      </c>
      <c r="G11" s="115">
        <v>72745.78798870882</v>
      </c>
      <c r="H11" s="115">
        <v>92493.659459933871</v>
      </c>
      <c r="I11" s="115">
        <v>91792.19112558465</v>
      </c>
      <c r="J11" s="115">
        <v>84400.512864625678</v>
      </c>
      <c r="K11" s="115">
        <v>91788.75921045705</v>
      </c>
      <c r="L11" s="115">
        <v>94307.227588748137</v>
      </c>
      <c r="M11" s="115">
        <v>99353.625990616754</v>
      </c>
      <c r="N11" s="115">
        <v>98194.304991681958</v>
      </c>
      <c r="O11" s="115">
        <v>101357.89282991139</v>
      </c>
      <c r="P11" s="115">
        <v>92173.469854037045</v>
      </c>
      <c r="Q11" s="115">
        <v>105832.58122755602</v>
      </c>
    </row>
    <row r="12" spans="1:17" s="117" customFormat="1" ht="10.199999999999999">
      <c r="A12" s="109" t="s">
        <v>179</v>
      </c>
      <c r="B12" s="111">
        <v>43274.303729547079</v>
      </c>
      <c r="C12" s="111">
        <v>52394.3985718572</v>
      </c>
      <c r="D12" s="111">
        <v>51765.443619275429</v>
      </c>
      <c r="E12" s="111">
        <v>59655.02250841826</v>
      </c>
      <c r="F12" s="111">
        <v>57362.717464475667</v>
      </c>
      <c r="G12" s="111">
        <v>42123.87866927393</v>
      </c>
      <c r="H12" s="111">
        <v>62494.466055781493</v>
      </c>
      <c r="I12" s="111">
        <v>61704.919748674445</v>
      </c>
      <c r="J12" s="111">
        <v>53494.600610218433</v>
      </c>
      <c r="K12" s="111">
        <v>59821.703068163573</v>
      </c>
      <c r="L12" s="111">
        <v>62515.984981337526</v>
      </c>
      <c r="M12" s="111">
        <v>67234.421596340806</v>
      </c>
      <c r="N12" s="111">
        <v>66948.95332926618</v>
      </c>
      <c r="O12" s="111">
        <v>69146.876602589851</v>
      </c>
      <c r="P12" s="111">
        <v>59795.637001624345</v>
      </c>
      <c r="Q12" s="111">
        <v>71498.118884446245</v>
      </c>
    </row>
    <row r="13" spans="1:17" s="109" customFormat="1" ht="10.199999999999999">
      <c r="A13" s="109" t="s">
        <v>178</v>
      </c>
      <c r="B13" s="111">
        <v>20920.136640850582</v>
      </c>
      <c r="C13" s="111">
        <v>21952.228565311329</v>
      </c>
      <c r="D13" s="111">
        <v>22564.306491854448</v>
      </c>
      <c r="E13" s="111">
        <v>22665.991701444262</v>
      </c>
      <c r="F13" s="111">
        <v>22998.729828535237</v>
      </c>
      <c r="G13" s="111">
        <v>23627.65823371039</v>
      </c>
      <c r="H13" s="111">
        <v>21814.407502924372</v>
      </c>
      <c r="I13" s="111">
        <v>21922.315348331049</v>
      </c>
      <c r="J13" s="111">
        <v>23087.179905607692</v>
      </c>
      <c r="K13" s="111">
        <v>23845.61072506163</v>
      </c>
      <c r="L13" s="111">
        <v>23451.166399914779</v>
      </c>
      <c r="M13" s="111">
        <v>23445.038646314712</v>
      </c>
      <c r="N13" s="111">
        <v>22491.104805028473</v>
      </c>
      <c r="O13" s="111">
        <v>23010.405091051332</v>
      </c>
      <c r="P13" s="111">
        <v>23721.097274544158</v>
      </c>
      <c r="Q13" s="111">
        <v>24692.888409332707</v>
      </c>
    </row>
    <row r="14" spans="1:17" s="109" customFormat="1" ht="10.199999999999999">
      <c r="A14" s="109" t="s">
        <v>177</v>
      </c>
      <c r="B14" s="111">
        <v>4096.1922770189576</v>
      </c>
      <c r="C14" s="111">
        <v>4099.2325806160916</v>
      </c>
      <c r="D14" s="111">
        <v>3957.0346768336854</v>
      </c>
      <c r="E14" s="111">
        <v>4444.8600046088604</v>
      </c>
      <c r="F14" s="111">
        <v>4575.6136374440675</v>
      </c>
      <c r="G14" s="111">
        <v>3674.1774262138101</v>
      </c>
      <c r="H14" s="111">
        <v>4862.5272701344329</v>
      </c>
      <c r="I14" s="111">
        <v>4838.5524819269822</v>
      </c>
      <c r="J14" s="111">
        <v>4420.5121952783802</v>
      </c>
      <c r="K14" s="111">
        <v>4652.2891254294509</v>
      </c>
      <c r="L14" s="111">
        <v>4890.2085693022991</v>
      </c>
      <c r="M14" s="111">
        <v>5126.2678302238392</v>
      </c>
      <c r="N14" s="111">
        <v>5118.5305725180333</v>
      </c>
      <c r="O14" s="111">
        <v>5498.1212190637425</v>
      </c>
      <c r="P14" s="111">
        <v>4912.9239943225393</v>
      </c>
      <c r="Q14" s="111">
        <v>5804.7652556037683</v>
      </c>
    </row>
    <row r="15" spans="1:17" s="109" customFormat="1" ht="10.199999999999999">
      <c r="A15" s="109" t="s">
        <v>176</v>
      </c>
      <c r="B15" s="111">
        <v>92.147395477900304</v>
      </c>
      <c r="C15" s="111">
        <v>92.57692394906681</v>
      </c>
      <c r="D15" s="111">
        <v>95.255446866096875</v>
      </c>
      <c r="E15" s="111">
        <v>80.568419175009055</v>
      </c>
      <c r="F15" s="111">
        <v>104.50048652202497</v>
      </c>
      <c r="G15" s="111">
        <v>87.811061499965419</v>
      </c>
      <c r="H15" s="111">
        <v>104.91386639014578</v>
      </c>
      <c r="I15" s="111">
        <v>115.93899857549857</v>
      </c>
      <c r="J15" s="111">
        <v>87.302573082387937</v>
      </c>
      <c r="K15" s="111">
        <v>85.016390835465813</v>
      </c>
      <c r="L15" s="111">
        <v>83.773267361799512</v>
      </c>
      <c r="M15" s="111">
        <v>85.86937006291015</v>
      </c>
      <c r="N15" s="111">
        <v>63.462959622563758</v>
      </c>
      <c r="O15" s="111">
        <v>54.794775486946584</v>
      </c>
      <c r="P15" s="111">
        <v>56.539944602345543</v>
      </c>
      <c r="Q15" s="111">
        <v>50.644767111537206</v>
      </c>
    </row>
    <row r="16" spans="1:17" s="109" customFormat="1" ht="10.199999999999999">
      <c r="A16" s="109" t="s">
        <v>175</v>
      </c>
      <c r="B16" s="111">
        <v>2121.3664534324162</v>
      </c>
      <c r="C16" s="111">
        <v>1778.759859960888</v>
      </c>
      <c r="D16" s="111">
        <v>1822.9745196368715</v>
      </c>
      <c r="E16" s="111">
        <v>1790.8467192131118</v>
      </c>
      <c r="F16" s="111">
        <v>1584.3667301175542</v>
      </c>
      <c r="G16" s="111">
        <v>1490.0509050544877</v>
      </c>
      <c r="H16" s="111">
        <v>1472.050486481812</v>
      </c>
      <c r="I16" s="111">
        <v>1454.9353799979276</v>
      </c>
      <c r="J16" s="111">
        <v>1467.6119539561239</v>
      </c>
      <c r="K16" s="111">
        <v>1448.6689931601536</v>
      </c>
      <c r="L16" s="111">
        <v>1430.6234630249548</v>
      </c>
      <c r="M16" s="111">
        <v>1406.8101746664204</v>
      </c>
      <c r="N16" s="111">
        <v>1385.3316475019553</v>
      </c>
      <c r="O16" s="111">
        <v>1365.2607934302748</v>
      </c>
      <c r="P16" s="111">
        <v>1361.4607009561896</v>
      </c>
      <c r="Q16" s="111">
        <v>1492.5164781412395</v>
      </c>
    </row>
    <row r="17" spans="1:17" s="109" customFormat="1" ht="10.199999999999999">
      <c r="A17" s="109" t="s">
        <v>174</v>
      </c>
      <c r="B17" s="111">
        <v>1344.780786819905</v>
      </c>
      <c r="C17" s="111">
        <v>1302.8990417303357</v>
      </c>
      <c r="D17" s="111">
        <v>1652.4091667582125</v>
      </c>
      <c r="E17" s="111">
        <v>1748.3838268091761</v>
      </c>
      <c r="F17" s="111">
        <v>1741.0146524749887</v>
      </c>
      <c r="G17" s="111">
        <v>1742.2116929562437</v>
      </c>
      <c r="H17" s="111">
        <v>1745.2942782216121</v>
      </c>
      <c r="I17" s="111">
        <v>1755.5291680787213</v>
      </c>
      <c r="J17" s="111">
        <v>1843.3056264826575</v>
      </c>
      <c r="K17" s="111">
        <v>1935.4709078067904</v>
      </c>
      <c r="L17" s="111">
        <v>1935.4709078067904</v>
      </c>
      <c r="M17" s="111">
        <v>2055.2183730080642</v>
      </c>
      <c r="N17" s="111">
        <v>2186.9216777447687</v>
      </c>
      <c r="O17" s="111">
        <v>2282.4343482892455</v>
      </c>
      <c r="P17" s="111">
        <v>2325.8109379874691</v>
      </c>
      <c r="Q17" s="111">
        <v>2293.6474329205284</v>
      </c>
    </row>
    <row r="18" spans="1:17" s="109" customFormat="1" ht="12">
      <c r="A18" s="116" t="s">
        <v>173</v>
      </c>
      <c r="B18" s="115">
        <v>2235.2190190616561</v>
      </c>
      <c r="C18" s="115">
        <v>2058.1825222324514</v>
      </c>
      <c r="D18" s="115">
        <v>3243.4858161772613</v>
      </c>
      <c r="E18" s="115">
        <v>2898.8480276892237</v>
      </c>
      <c r="F18" s="115">
        <v>3049.0164682290106</v>
      </c>
      <c r="G18" s="115">
        <v>2464.0510173580969</v>
      </c>
      <c r="H18" s="115">
        <v>2507.2439165391443</v>
      </c>
      <c r="I18" s="115">
        <v>2613.134626115871</v>
      </c>
      <c r="J18" s="115">
        <v>2618.4032819946415</v>
      </c>
      <c r="K18" s="115">
        <v>3199.3654783539287</v>
      </c>
      <c r="L18" s="115">
        <v>3227.0557651299737</v>
      </c>
      <c r="M18" s="115">
        <v>3302.386816640621</v>
      </c>
      <c r="N18" s="115">
        <v>3291.5772639390939</v>
      </c>
      <c r="O18" s="115">
        <v>3730.8852954579647</v>
      </c>
      <c r="P18" s="115">
        <v>3943.3279206363131</v>
      </c>
      <c r="Q18" s="115">
        <v>3530.6616621442417</v>
      </c>
    </row>
    <row r="19" spans="1:17" s="109" customFormat="1" ht="12">
      <c r="A19" s="116" t="s">
        <v>172</v>
      </c>
      <c r="B19" s="115">
        <v>39163.80997017576</v>
      </c>
      <c r="C19" s="115">
        <v>38734.598440089714</v>
      </c>
      <c r="D19" s="115">
        <v>40814.751940680952</v>
      </c>
      <c r="E19" s="115">
        <v>39927.07089036968</v>
      </c>
      <c r="F19" s="115">
        <v>39499.053483222437</v>
      </c>
      <c r="G19" s="115">
        <v>39358.159741588148</v>
      </c>
      <c r="H19" s="115">
        <v>40007.787989458244</v>
      </c>
      <c r="I19" s="115">
        <v>37714.56963345674</v>
      </c>
      <c r="J19" s="115">
        <v>37367.975948787709</v>
      </c>
      <c r="K19" s="115">
        <v>36104.698109086006</v>
      </c>
      <c r="L19" s="115">
        <v>36676.805350385366</v>
      </c>
      <c r="M19" s="115">
        <v>37239.415622200751</v>
      </c>
      <c r="N19" s="115">
        <v>34918.834411897624</v>
      </c>
      <c r="O19" s="115">
        <v>33785.788337509526</v>
      </c>
      <c r="P19" s="115">
        <v>34184.253165261245</v>
      </c>
      <c r="Q19" s="115">
        <v>34574.980466081819</v>
      </c>
    </row>
    <row r="20" spans="1:17" s="109" customFormat="1" ht="10.199999999999999">
      <c r="A20" s="109" t="s">
        <v>171</v>
      </c>
      <c r="B20" s="111">
        <v>34700.885068475254</v>
      </c>
      <c r="C20" s="111">
        <v>33590.492311804453</v>
      </c>
      <c r="D20" s="111">
        <v>35015.136265215195</v>
      </c>
      <c r="E20" s="111">
        <v>34275.167927343689</v>
      </c>
      <c r="F20" s="111">
        <v>33803.775033808524</v>
      </c>
      <c r="G20" s="111">
        <v>32672.558458642758</v>
      </c>
      <c r="H20" s="111">
        <v>32575.614262101863</v>
      </c>
      <c r="I20" s="111">
        <v>30708.705317415246</v>
      </c>
      <c r="J20" s="111">
        <v>30264.164387240842</v>
      </c>
      <c r="K20" s="111">
        <v>29878.924286396865</v>
      </c>
      <c r="L20" s="111">
        <v>29946.993709153958</v>
      </c>
      <c r="M20" s="111">
        <v>30169.288820445203</v>
      </c>
      <c r="N20" s="111">
        <v>28329.349946116537</v>
      </c>
      <c r="O20" s="111">
        <v>27070.381067818991</v>
      </c>
      <c r="P20" s="111">
        <v>27827.431303669411</v>
      </c>
      <c r="Q20" s="111">
        <v>28785.902405617686</v>
      </c>
    </row>
    <row r="21" spans="1:17" s="109" customFormat="1" ht="10.199999999999999">
      <c r="A21" s="109" t="s">
        <v>170</v>
      </c>
      <c r="B21" s="111">
        <v>4462.9249017005004</v>
      </c>
      <c r="C21" s="111">
        <v>5144.1061282852552</v>
      </c>
      <c r="D21" s="111">
        <v>5799.6156754657577</v>
      </c>
      <c r="E21" s="111">
        <v>5651.9029630259811</v>
      </c>
      <c r="F21" s="111">
        <v>5695.278449413915</v>
      </c>
      <c r="G21" s="111">
        <v>6685.6012829453848</v>
      </c>
      <c r="H21" s="111">
        <v>7432.1737273563813</v>
      </c>
      <c r="I21" s="111">
        <v>7005.8643160414913</v>
      </c>
      <c r="J21" s="111">
        <v>7103.8115615468614</v>
      </c>
      <c r="K21" s="111">
        <v>6225.7738226891406</v>
      </c>
      <c r="L21" s="111">
        <v>6729.8116412314075</v>
      </c>
      <c r="M21" s="111">
        <v>7070.1268017555494</v>
      </c>
      <c r="N21" s="111">
        <v>6589.4844657810872</v>
      </c>
      <c r="O21" s="111">
        <v>6715.4072696905396</v>
      </c>
      <c r="P21" s="111">
        <v>6356.8218615918322</v>
      </c>
      <c r="Q21" s="111">
        <v>5789.0780604641322</v>
      </c>
    </row>
    <row r="22" spans="1:17" s="109" customFormat="1" ht="12">
      <c r="A22" s="116" t="s">
        <v>169</v>
      </c>
      <c r="B22" s="115">
        <v>288271.73575898161</v>
      </c>
      <c r="C22" s="115">
        <v>310187.88030112284</v>
      </c>
      <c r="D22" s="115">
        <v>338412.20776063029</v>
      </c>
      <c r="E22" s="115">
        <v>364368.63995476847</v>
      </c>
      <c r="F22" s="115">
        <v>373908.48549085757</v>
      </c>
      <c r="G22" s="115">
        <v>347863.19440053817</v>
      </c>
      <c r="H22" s="115">
        <v>389350.66403474862</v>
      </c>
      <c r="I22" s="115">
        <v>421593.24385046278</v>
      </c>
      <c r="J22" s="115">
        <v>411235.74958210281</v>
      </c>
      <c r="K22" s="115">
        <v>418884.43499073788</v>
      </c>
      <c r="L22" s="115">
        <v>398442.62984338228</v>
      </c>
      <c r="M22" s="115">
        <v>402657.43750927929</v>
      </c>
      <c r="N22" s="115">
        <v>383833.73410010815</v>
      </c>
      <c r="O22" s="115">
        <v>393711.40856782993</v>
      </c>
      <c r="P22" s="115">
        <v>376680.844333924</v>
      </c>
      <c r="Q22" s="115">
        <v>353974.50988356303</v>
      </c>
    </row>
    <row r="23" spans="1:17" s="109" customFormat="1" ht="10.199999999999999">
      <c r="A23" s="109" t="s">
        <v>168</v>
      </c>
      <c r="B23" s="111">
        <v>89283.308032039044</v>
      </c>
      <c r="C23" s="111">
        <v>97972.404180786354</v>
      </c>
      <c r="D23" s="111">
        <v>105437.39380965369</v>
      </c>
      <c r="E23" s="111">
        <v>112061.63587249111</v>
      </c>
      <c r="F23" s="111">
        <v>114468.80429821344</v>
      </c>
      <c r="G23" s="111">
        <v>113988.57916875037</v>
      </c>
      <c r="H23" s="111">
        <v>114057.11197597896</v>
      </c>
      <c r="I23" s="111">
        <v>119384.83356702086</v>
      </c>
      <c r="J23" s="111">
        <v>116571.39085799287</v>
      </c>
      <c r="K23" s="111">
        <v>116638.33762199261</v>
      </c>
      <c r="L23" s="111">
        <v>117681.07820630976</v>
      </c>
      <c r="M23" s="111">
        <v>123069.56938079628</v>
      </c>
      <c r="N23" s="111">
        <v>121633.70422886185</v>
      </c>
      <c r="O23" s="111">
        <v>121680.17960838521</v>
      </c>
      <c r="P23" s="111">
        <v>118842.97666253433</v>
      </c>
      <c r="Q23" s="111">
        <v>120198.5980958119</v>
      </c>
    </row>
    <row r="24" spans="1:17" s="109" customFormat="1" ht="10.199999999999999">
      <c r="A24" s="109" t="s">
        <v>167</v>
      </c>
      <c r="B24" s="111">
        <v>2043.5254838625262</v>
      </c>
      <c r="C24" s="111">
        <v>1954.6770291665382</v>
      </c>
      <c r="D24" s="111">
        <v>2051.6635537367151</v>
      </c>
      <c r="E24" s="111">
        <v>2063.0201689603819</v>
      </c>
      <c r="F24" s="111">
        <v>2186.6861410178035</v>
      </c>
      <c r="G24" s="111">
        <v>2158.0313083029046</v>
      </c>
      <c r="H24" s="111">
        <v>2134.8110254827952</v>
      </c>
      <c r="I24" s="111">
        <v>2141.1829020294172</v>
      </c>
      <c r="J24" s="111">
        <v>2164.2540970061609</v>
      </c>
      <c r="K24" s="111">
        <v>2081.2237986932187</v>
      </c>
      <c r="L24" s="111">
        <v>2145.0834454661094</v>
      </c>
      <c r="M24" s="111">
        <v>2015.1137699605754</v>
      </c>
      <c r="N24" s="111">
        <v>1710.536893891149</v>
      </c>
      <c r="O24" s="111">
        <v>1756.1935466116427</v>
      </c>
      <c r="P24" s="111">
        <v>1617.5199215300363</v>
      </c>
      <c r="Q24" s="111">
        <v>1571.8273502035793</v>
      </c>
    </row>
    <row r="25" spans="1:17" s="109" customFormat="1" ht="10.199999999999999">
      <c r="A25" s="109" t="s">
        <v>166</v>
      </c>
      <c r="B25" s="111">
        <v>7776.7743508158155</v>
      </c>
      <c r="C25" s="111">
        <v>8737.8413430738074</v>
      </c>
      <c r="D25" s="111">
        <v>8993.660584723375</v>
      </c>
      <c r="E25" s="111">
        <v>9895.8521068913979</v>
      </c>
      <c r="F25" s="111">
        <v>9030.5857621894138</v>
      </c>
      <c r="G25" s="111">
        <v>8506.3564224667716</v>
      </c>
      <c r="H25" s="111">
        <v>10260.104580945315</v>
      </c>
      <c r="I25" s="111">
        <v>10646.083568710181</v>
      </c>
      <c r="J25" s="111">
        <v>9644.5178351885843</v>
      </c>
      <c r="K25" s="111">
        <v>9297.3198935764703</v>
      </c>
      <c r="L25" s="111">
        <v>9767.7558344734662</v>
      </c>
      <c r="M25" s="111">
        <v>9585.4617616305295</v>
      </c>
      <c r="N25" s="111">
        <v>8553.1792247281537</v>
      </c>
      <c r="O25" s="111">
        <v>8055.4829232999746</v>
      </c>
      <c r="P25" s="111">
        <v>7321.2060799003639</v>
      </c>
      <c r="Q25" s="111">
        <v>6906.0237117696897</v>
      </c>
    </row>
    <row r="26" spans="1:17" s="109" customFormat="1" ht="10.199999999999999">
      <c r="A26" s="109" t="s">
        <v>165</v>
      </c>
      <c r="B26" s="111">
        <v>7327.7226887437628</v>
      </c>
      <c r="C26" s="111">
        <v>8972.825190921214</v>
      </c>
      <c r="D26" s="111">
        <v>9160.9044466074465</v>
      </c>
      <c r="E26" s="111">
        <v>9604.5918672964253</v>
      </c>
      <c r="F26" s="111">
        <v>9941.2247383200556</v>
      </c>
      <c r="G26" s="111">
        <v>9671.3374845539456</v>
      </c>
      <c r="H26" s="111">
        <v>10788.583209077316</v>
      </c>
      <c r="I26" s="111">
        <v>11930.363282013644</v>
      </c>
      <c r="J26" s="111">
        <v>11027.738096412746</v>
      </c>
      <c r="K26" s="111">
        <v>11331.258916591652</v>
      </c>
      <c r="L26" s="111">
        <v>9985.153572062598</v>
      </c>
      <c r="M26" s="111">
        <v>10419.351357828713</v>
      </c>
      <c r="N26" s="111">
        <v>9179.655276460644</v>
      </c>
      <c r="O26" s="111">
        <v>8210.9490258107653</v>
      </c>
      <c r="P26" s="111">
        <v>7571.8032283797984</v>
      </c>
      <c r="Q26" s="111">
        <v>6558.0375291695327</v>
      </c>
    </row>
    <row r="27" spans="1:17" s="109" customFormat="1" ht="10.199999999999999">
      <c r="A27" s="109" t="s">
        <v>164</v>
      </c>
      <c r="B27" s="111">
        <v>6812.8304294283207</v>
      </c>
      <c r="C27" s="111">
        <v>6696.7416509358054</v>
      </c>
      <c r="D27" s="111">
        <v>7399.7770450913058</v>
      </c>
      <c r="E27" s="111">
        <v>8133.5978040354812</v>
      </c>
      <c r="F27" s="111">
        <v>7629.1293252885853</v>
      </c>
      <c r="G27" s="111">
        <v>7011.0379961701256</v>
      </c>
      <c r="H27" s="111">
        <v>8804.4835053678962</v>
      </c>
      <c r="I27" s="111">
        <v>8322.3178951219998</v>
      </c>
      <c r="J27" s="111">
        <v>7500.392141315202</v>
      </c>
      <c r="K27" s="111">
        <v>7594.8952747634548</v>
      </c>
      <c r="L27" s="111">
        <v>7493.7112145377978</v>
      </c>
      <c r="M27" s="111">
        <v>7051.4688416407689</v>
      </c>
      <c r="N27" s="111">
        <v>6687.5592606688415</v>
      </c>
      <c r="O27" s="111">
        <v>6124.4589091157541</v>
      </c>
      <c r="P27" s="111">
        <v>6164.3379051595748</v>
      </c>
      <c r="Q27" s="111">
        <v>5744.3652113603166</v>
      </c>
    </row>
    <row r="28" spans="1:17" s="109" customFormat="1" ht="10.199999999999999">
      <c r="A28" s="109" t="s">
        <v>163</v>
      </c>
      <c r="B28" s="111">
        <v>4600.7528212839807</v>
      </c>
      <c r="C28" s="111">
        <v>4264.6743654182665</v>
      </c>
      <c r="D28" s="111">
        <v>4615.9849741022945</v>
      </c>
      <c r="E28" s="111">
        <v>4608.4475570782179</v>
      </c>
      <c r="F28" s="111">
        <v>4339.6377860297916</v>
      </c>
      <c r="G28" s="111">
        <v>3798.0925723079076</v>
      </c>
      <c r="H28" s="111">
        <v>4168.3966212489104</v>
      </c>
      <c r="I28" s="111">
        <v>4558.0528348741736</v>
      </c>
      <c r="J28" s="111">
        <v>4240.5155973699075</v>
      </c>
      <c r="K28" s="111">
        <v>4483.6106209362324</v>
      </c>
      <c r="L28" s="111">
        <v>3789.2558070864288</v>
      </c>
      <c r="M28" s="111">
        <v>3767.9450632246626</v>
      </c>
      <c r="N28" s="111">
        <v>3426.0520994236995</v>
      </c>
      <c r="O28" s="111">
        <v>3673.2400936657637</v>
      </c>
      <c r="P28" s="111">
        <v>3619.7505998691722</v>
      </c>
      <c r="Q28" s="111">
        <v>3551.2036585752685</v>
      </c>
    </row>
    <row r="29" spans="1:17" s="109" customFormat="1" ht="10.199999999999999">
      <c r="A29" s="109" t="s">
        <v>162</v>
      </c>
      <c r="B29" s="111">
        <v>8357.7682970231308</v>
      </c>
      <c r="C29" s="111">
        <v>9295.8951607215167</v>
      </c>
      <c r="D29" s="111">
        <v>10133.165679272142</v>
      </c>
      <c r="E29" s="111">
        <v>10931.951993122508</v>
      </c>
      <c r="F29" s="111">
        <v>10871.467310874976</v>
      </c>
      <c r="G29" s="111">
        <v>10008.856619630216</v>
      </c>
      <c r="H29" s="111">
        <v>10929.673459821179</v>
      </c>
      <c r="I29" s="111">
        <v>11401.486223106718</v>
      </c>
      <c r="J29" s="111">
        <v>11039.160010661686</v>
      </c>
      <c r="K29" s="111">
        <v>10799.603024237007</v>
      </c>
      <c r="L29" s="111">
        <v>10882.243750837777</v>
      </c>
      <c r="M29" s="111">
        <v>10383.811093950048</v>
      </c>
      <c r="N29" s="111">
        <v>9896.979769712314</v>
      </c>
      <c r="O29" s="111">
        <v>9947.3595254539887</v>
      </c>
      <c r="P29" s="111">
        <v>9825.3833254199981</v>
      </c>
      <c r="Q29" s="111">
        <v>9502.707665922555</v>
      </c>
    </row>
    <row r="30" spans="1:17" s="109" customFormat="1" ht="10.199999999999999">
      <c r="A30" s="109" t="s">
        <v>161</v>
      </c>
      <c r="B30" s="111">
        <v>7188.1483118647802</v>
      </c>
      <c r="C30" s="111">
        <v>7783.0269765504927</v>
      </c>
      <c r="D30" s="111">
        <v>8786.3227098896623</v>
      </c>
      <c r="E30" s="111">
        <v>9815.7441711592073</v>
      </c>
      <c r="F30" s="111">
        <v>10603.484786707659</v>
      </c>
      <c r="G30" s="111">
        <v>9828.9581182735092</v>
      </c>
      <c r="H30" s="111">
        <v>10608.745585467201</v>
      </c>
      <c r="I30" s="111">
        <v>12098.465081094797</v>
      </c>
      <c r="J30" s="111">
        <v>11136.76979027153</v>
      </c>
      <c r="K30" s="111">
        <v>11252.049755330198</v>
      </c>
      <c r="L30" s="111">
        <v>9702.2654063760565</v>
      </c>
      <c r="M30" s="111">
        <v>8723.9775540554401</v>
      </c>
      <c r="N30" s="111">
        <v>8189.046511114092</v>
      </c>
      <c r="O30" s="111">
        <v>8266.1166918041945</v>
      </c>
      <c r="P30" s="111">
        <v>7877.577264894896</v>
      </c>
      <c r="Q30" s="111">
        <v>7615.4892055477312</v>
      </c>
    </row>
    <row r="31" spans="1:17" s="109" customFormat="1" ht="10.199999999999999">
      <c r="A31" s="109" t="s">
        <v>160</v>
      </c>
      <c r="B31" s="111">
        <v>23724.704092864104</v>
      </c>
      <c r="C31" s="111">
        <v>23460.809594648497</v>
      </c>
      <c r="D31" s="111">
        <v>24077.38096504406</v>
      </c>
      <c r="E31" s="111">
        <v>25452.101754457337</v>
      </c>
      <c r="F31" s="111">
        <v>24304.520808312169</v>
      </c>
      <c r="G31" s="111">
        <v>23336.109243818955</v>
      </c>
      <c r="H31" s="111">
        <v>24604.027264349348</v>
      </c>
      <c r="I31" s="111">
        <v>24440.02523868889</v>
      </c>
      <c r="J31" s="111">
        <v>25106.204892258957</v>
      </c>
      <c r="K31" s="111">
        <v>25116.905850146792</v>
      </c>
      <c r="L31" s="111">
        <v>25126.726154364398</v>
      </c>
      <c r="M31" s="111">
        <v>26358.462475107452</v>
      </c>
      <c r="N31" s="111">
        <v>25692.593050329888</v>
      </c>
      <c r="O31" s="111">
        <v>25643.005338946645</v>
      </c>
      <c r="P31" s="111">
        <v>24526.061083243272</v>
      </c>
      <c r="Q31" s="111">
        <v>24315.46937159196</v>
      </c>
    </row>
    <row r="32" spans="1:17" s="109" customFormat="1" ht="10.199999999999999">
      <c r="A32" s="109" t="s">
        <v>159</v>
      </c>
      <c r="B32" s="111">
        <v>35591.351752697345</v>
      </c>
      <c r="C32" s="111">
        <v>36116.308638925213</v>
      </c>
      <c r="D32" s="111">
        <v>38497.843946395064</v>
      </c>
      <c r="E32" s="111">
        <v>40001.9727254522</v>
      </c>
      <c r="F32" s="111">
        <v>43201.336269733518</v>
      </c>
      <c r="G32" s="111">
        <v>43831.126880496427</v>
      </c>
      <c r="H32" s="111">
        <v>46715.836932274848</v>
      </c>
      <c r="I32" s="111">
        <v>49616.186926931106</v>
      </c>
      <c r="J32" s="111">
        <v>51923.715665422045</v>
      </c>
      <c r="K32" s="111">
        <v>55014.959262869452</v>
      </c>
      <c r="L32" s="111">
        <v>54829.812962532887</v>
      </c>
      <c r="M32" s="111">
        <v>54795.19576832137</v>
      </c>
      <c r="N32" s="111">
        <v>53621.857594688139</v>
      </c>
      <c r="O32" s="111">
        <v>53974.094068310354</v>
      </c>
      <c r="P32" s="111">
        <v>50980.867312032729</v>
      </c>
      <c r="Q32" s="111">
        <v>48071.834080832035</v>
      </c>
    </row>
    <row r="33" spans="1:17" s="109" customFormat="1" ht="10.199999999999999">
      <c r="A33" s="109" t="s">
        <v>158</v>
      </c>
      <c r="B33" s="111">
        <v>12591.93270450725</v>
      </c>
      <c r="C33" s="111">
        <v>12923.588269506099</v>
      </c>
      <c r="D33" s="111">
        <v>13655.025240820331</v>
      </c>
      <c r="E33" s="111">
        <v>14884.522478514047</v>
      </c>
      <c r="F33" s="111">
        <v>13640.403054857738</v>
      </c>
      <c r="G33" s="111">
        <v>13386.039737576706</v>
      </c>
      <c r="H33" s="111">
        <v>15591.602613741901</v>
      </c>
      <c r="I33" s="111">
        <v>16560.436769347471</v>
      </c>
      <c r="J33" s="111">
        <v>16580.190803843401</v>
      </c>
      <c r="K33" s="111">
        <v>16734.9255719471</v>
      </c>
      <c r="L33" s="111">
        <v>16048.022813665621</v>
      </c>
      <c r="M33" s="111">
        <v>17154.334089611359</v>
      </c>
      <c r="N33" s="111">
        <v>15127.532731737472</v>
      </c>
      <c r="O33" s="111">
        <v>15407.703510407966</v>
      </c>
      <c r="P33" s="111">
        <v>13845.382671576541</v>
      </c>
      <c r="Q33" s="111">
        <v>12915.33763686933</v>
      </c>
    </row>
    <row r="34" spans="1:17" s="109" customFormat="1" ht="10.199999999999999">
      <c r="A34" s="109" t="s">
        <v>157</v>
      </c>
      <c r="B34" s="111">
        <v>7162.9066004356255</v>
      </c>
      <c r="C34" s="111">
        <v>8404.7312674005207</v>
      </c>
      <c r="D34" s="111">
        <v>10172.705405629482</v>
      </c>
      <c r="E34" s="111">
        <v>10977.804679974615</v>
      </c>
      <c r="F34" s="111">
        <v>11184.622594446459</v>
      </c>
      <c r="G34" s="111">
        <v>9959.4169082680983</v>
      </c>
      <c r="H34" s="111">
        <v>11035.949444855863</v>
      </c>
      <c r="I34" s="111">
        <v>11935.366394092549</v>
      </c>
      <c r="J34" s="111">
        <v>11445.594573303732</v>
      </c>
      <c r="K34" s="111">
        <v>12365.574854703964</v>
      </c>
      <c r="L34" s="111">
        <v>11818.474965017918</v>
      </c>
      <c r="M34" s="111">
        <v>12191.245075350973</v>
      </c>
      <c r="N34" s="111">
        <v>11434.485394193607</v>
      </c>
      <c r="O34" s="111">
        <v>12225.434613898318</v>
      </c>
      <c r="P34" s="111">
        <v>12260.193884249426</v>
      </c>
      <c r="Q34" s="111">
        <v>11434.942972228218</v>
      </c>
    </row>
    <row r="35" spans="1:17" s="109" customFormat="1" ht="10.199999999999999">
      <c r="A35" s="109" t="s">
        <v>156</v>
      </c>
      <c r="B35" s="111">
        <v>20660.124622450945</v>
      </c>
      <c r="C35" s="111">
        <v>21020.268011714757</v>
      </c>
      <c r="D35" s="111">
        <v>22249.032679108852</v>
      </c>
      <c r="E35" s="111">
        <v>22064.438421054962</v>
      </c>
      <c r="F35" s="111">
        <v>24289.966669953086</v>
      </c>
      <c r="G35" s="111">
        <v>19655.133438457684</v>
      </c>
      <c r="H35" s="111">
        <v>24002.430022382683</v>
      </c>
      <c r="I35" s="111">
        <v>25165.91163005932</v>
      </c>
      <c r="J35" s="111">
        <v>23787.660506202668</v>
      </c>
      <c r="K35" s="111">
        <v>24754.910698893866</v>
      </c>
      <c r="L35" s="111">
        <v>24463.060036326373</v>
      </c>
      <c r="M35" s="111">
        <v>21603.268092415692</v>
      </c>
      <c r="N35" s="111">
        <v>19802.625467211928</v>
      </c>
      <c r="O35" s="111">
        <v>22820.433786707887</v>
      </c>
      <c r="P35" s="111">
        <v>23747.028713462976</v>
      </c>
      <c r="Q35" s="111">
        <v>21713.799430663712</v>
      </c>
    </row>
    <row r="36" spans="1:17" s="109" customFormat="1" ht="10.199999999999999">
      <c r="A36" s="109" t="s">
        <v>155</v>
      </c>
      <c r="B36" s="111">
        <v>10559.621653948785</v>
      </c>
      <c r="C36" s="111">
        <v>11508.292358925224</v>
      </c>
      <c r="D36" s="111">
        <v>12716.254007959846</v>
      </c>
      <c r="E36" s="111">
        <v>13769.126405481149</v>
      </c>
      <c r="F36" s="111">
        <v>14485.074960484952</v>
      </c>
      <c r="G36" s="111">
        <v>11923.780741464318</v>
      </c>
      <c r="H36" s="111">
        <v>13412.237937778933</v>
      </c>
      <c r="I36" s="111">
        <v>14385.795786070545</v>
      </c>
      <c r="J36" s="111">
        <v>13506.266685502464</v>
      </c>
      <c r="K36" s="111">
        <v>12799.698995880508</v>
      </c>
      <c r="L36" s="111">
        <v>11017.686613245429</v>
      </c>
      <c r="M36" s="111">
        <v>11510.713373363513</v>
      </c>
      <c r="N36" s="111">
        <v>10821.719898322608</v>
      </c>
      <c r="O36" s="111">
        <v>11745.677819104632</v>
      </c>
      <c r="P36" s="111">
        <v>11508.301823406317</v>
      </c>
      <c r="Q36" s="111">
        <v>10734.775464176244</v>
      </c>
    </row>
    <row r="37" spans="1:17" s="109" customFormat="1" ht="10.199999999999999">
      <c r="A37" s="109" t="s">
        <v>154</v>
      </c>
      <c r="B37" s="111">
        <v>10803.298584889606</v>
      </c>
      <c r="C37" s="111">
        <v>11827.510534026362</v>
      </c>
      <c r="D37" s="111">
        <v>14389.413455942942</v>
      </c>
      <c r="E37" s="111">
        <v>17098.615179660701</v>
      </c>
      <c r="F37" s="111">
        <v>18150.332174451443</v>
      </c>
      <c r="G37" s="111">
        <v>14424.761701160643</v>
      </c>
      <c r="H37" s="111">
        <v>19571.667832912186</v>
      </c>
      <c r="I37" s="111">
        <v>23525.896247947323</v>
      </c>
      <c r="J37" s="111">
        <v>21275.53277363105</v>
      </c>
      <c r="K37" s="111">
        <v>21794.810303318165</v>
      </c>
      <c r="L37" s="111">
        <v>19158.47950976295</v>
      </c>
      <c r="M37" s="111">
        <v>19877.880913908157</v>
      </c>
      <c r="N37" s="111">
        <v>20304.280317741272</v>
      </c>
      <c r="O37" s="111">
        <v>23570.08466770095</v>
      </c>
      <c r="P37" s="111">
        <v>18561.566619391047</v>
      </c>
      <c r="Q37" s="111">
        <v>15939.202332701176</v>
      </c>
    </row>
    <row r="38" spans="1:17" s="109" customFormat="1" ht="10.199999999999999">
      <c r="A38" s="109" t="s">
        <v>153</v>
      </c>
      <c r="B38" s="111">
        <v>849.96595110924625</v>
      </c>
      <c r="C38" s="111">
        <v>878.71427281671458</v>
      </c>
      <c r="D38" s="111">
        <v>788.54777939777</v>
      </c>
      <c r="E38" s="111">
        <v>1046.9872355110592</v>
      </c>
      <c r="F38" s="111">
        <v>1640.8337430153465</v>
      </c>
      <c r="G38" s="111">
        <v>1671.4327106189908</v>
      </c>
      <c r="H38" s="111">
        <v>1446.840204934743</v>
      </c>
      <c r="I38" s="111">
        <v>1426.956544583815</v>
      </c>
      <c r="J38" s="111">
        <v>1303.6045213605967</v>
      </c>
      <c r="K38" s="111">
        <v>1151.3667020844953</v>
      </c>
      <c r="L38" s="111">
        <v>1285.4954673762586</v>
      </c>
      <c r="M38" s="111">
        <v>1536.2054510332471</v>
      </c>
      <c r="N38" s="111">
        <v>1152.1614097450706</v>
      </c>
      <c r="O38" s="111">
        <v>928.48616605745474</v>
      </c>
      <c r="P38" s="111">
        <v>847.2141565458744</v>
      </c>
      <c r="Q38" s="111">
        <v>735.95036345914798</v>
      </c>
    </row>
    <row r="39" spans="1:17" s="109" customFormat="1" ht="10.199999999999999">
      <c r="A39" s="109" t="s">
        <v>152</v>
      </c>
      <c r="B39" s="111">
        <v>4495.2707094304806</v>
      </c>
      <c r="C39" s="111">
        <v>4764.8959257927172</v>
      </c>
      <c r="D39" s="111">
        <v>4921.1070710857039</v>
      </c>
      <c r="E39" s="111">
        <v>5900.2563277659738</v>
      </c>
      <c r="F39" s="111">
        <v>5982.9049384880873</v>
      </c>
      <c r="G39" s="111">
        <v>5007.0350587530374</v>
      </c>
      <c r="H39" s="111">
        <v>5109.4562178255928</v>
      </c>
      <c r="I39" s="111">
        <v>5300.6877512068913</v>
      </c>
      <c r="J39" s="111">
        <v>4632.6900577175429</v>
      </c>
      <c r="K39" s="111">
        <v>4782.9108194421078</v>
      </c>
      <c r="L39" s="111">
        <v>4956.4850339680688</v>
      </c>
      <c r="M39" s="111">
        <v>5172.0102471952441</v>
      </c>
      <c r="N39" s="111">
        <v>4612.5803338945889</v>
      </c>
      <c r="O39" s="111">
        <v>4587.6542371244886</v>
      </c>
      <c r="P39" s="111">
        <v>4237.1961671357731</v>
      </c>
      <c r="Q39" s="111">
        <v>3706.4681560291574</v>
      </c>
    </row>
    <row r="40" spans="1:17" s="109" customFormat="1" ht="10.199999999999999">
      <c r="A40" s="109" t="s">
        <v>151</v>
      </c>
      <c r="B40" s="111">
        <v>1254.5348543778564</v>
      </c>
      <c r="C40" s="111">
        <v>1714.424262676011</v>
      </c>
      <c r="D40" s="111">
        <v>2525.3822098021965</v>
      </c>
      <c r="E40" s="111">
        <v>2487.3454146239264</v>
      </c>
      <c r="F40" s="111">
        <v>1996.5737131133556</v>
      </c>
      <c r="G40" s="111">
        <v>1395.1836008993694</v>
      </c>
      <c r="H40" s="111">
        <v>6542.0525524068998</v>
      </c>
      <c r="I40" s="111">
        <v>13190.824010751845</v>
      </c>
      <c r="J40" s="111">
        <v>15960.281224198316</v>
      </c>
      <c r="K40" s="111">
        <v>15694.32548786308</v>
      </c>
      <c r="L40" s="111">
        <v>12866.628439633749</v>
      </c>
      <c r="M40" s="111">
        <v>13640.30840846717</v>
      </c>
      <c r="N40" s="111">
        <v>12540.421510369682</v>
      </c>
      <c r="O40" s="111">
        <v>12886.890657165091</v>
      </c>
      <c r="P40" s="111">
        <v>12042.807331546846</v>
      </c>
      <c r="Q40" s="111">
        <v>10260.491249858</v>
      </c>
    </row>
    <row r="41" spans="1:17" s="109" customFormat="1" ht="10.199999999999999">
      <c r="A41" s="109" t="s">
        <v>150</v>
      </c>
      <c r="B41" s="111">
        <v>1496.6820172774837</v>
      </c>
      <c r="C41" s="111">
        <v>1808.6631219987821</v>
      </c>
      <c r="D41" s="111">
        <v>1958.4685734518459</v>
      </c>
      <c r="E41" s="111">
        <v>2383.1112869242543</v>
      </c>
      <c r="F41" s="111">
        <v>2565.8633199043434</v>
      </c>
      <c r="G41" s="111">
        <v>2450.9601155114083</v>
      </c>
      <c r="H41" s="111">
        <v>2461.9776848615893</v>
      </c>
      <c r="I41" s="111">
        <v>2236.0128787413214</v>
      </c>
      <c r="J41" s="111">
        <v>2324.2231679452011</v>
      </c>
      <c r="K41" s="111">
        <v>2131.439794108705</v>
      </c>
      <c r="L41" s="111">
        <v>1903.1392797708772</v>
      </c>
      <c r="M41" s="111">
        <v>2148.0921330096535</v>
      </c>
      <c r="N41" s="111">
        <v>1707.8636539446543</v>
      </c>
      <c r="O41" s="111">
        <v>1803.7742175931637</v>
      </c>
      <c r="P41" s="111">
        <v>1806.771289609989</v>
      </c>
      <c r="Q41" s="111">
        <v>1784.8726652260127</v>
      </c>
    </row>
    <row r="42" spans="1:17" s="109" customFormat="1" ht="10.199999999999999">
      <c r="A42" s="109" t="s">
        <v>149</v>
      </c>
      <c r="B42" s="111">
        <v>17071.821491260835</v>
      </c>
      <c r="C42" s="111">
        <v>20821.81762741947</v>
      </c>
      <c r="D42" s="111">
        <v>25633.018208194131</v>
      </c>
      <c r="E42" s="111">
        <v>29746.843403395778</v>
      </c>
      <c r="F42" s="111">
        <v>31935.750400807134</v>
      </c>
      <c r="G42" s="111">
        <v>25768.084762627052</v>
      </c>
      <c r="H42" s="111">
        <v>35979.18386594842</v>
      </c>
      <c r="I42" s="111">
        <v>41184.991393322292</v>
      </c>
      <c r="J42" s="111">
        <v>38508.70689002084</v>
      </c>
      <c r="K42" s="111">
        <v>41345.272317388968</v>
      </c>
      <c r="L42" s="111">
        <v>32906.00414255527</v>
      </c>
      <c r="M42" s="111">
        <v>30095.707943288486</v>
      </c>
      <c r="N42" s="111">
        <v>27240.421980408166</v>
      </c>
      <c r="O42" s="111">
        <v>29161.900575360676</v>
      </c>
      <c r="P42" s="111">
        <v>29887.851864721633</v>
      </c>
      <c r="Q42" s="111">
        <v>22322.117429175152</v>
      </c>
    </row>
    <row r="43" spans="1:17" s="109" customFormat="1" ht="10.199999999999999">
      <c r="A43" s="109" t="s">
        <v>148</v>
      </c>
      <c r="B43" s="111">
        <v>1078.3073445279372</v>
      </c>
      <c r="C43" s="111">
        <v>1296.380337088731</v>
      </c>
      <c r="D43" s="111">
        <v>1261.5827117800679</v>
      </c>
      <c r="E43" s="111">
        <v>1269.7770506113213</v>
      </c>
      <c r="F43" s="111">
        <v>1231.7703573057693</v>
      </c>
      <c r="G43" s="111">
        <v>1026.9041985679353</v>
      </c>
      <c r="H43" s="111">
        <v>1236.8826961084883</v>
      </c>
      <c r="I43" s="111">
        <v>1181.1116496490329</v>
      </c>
      <c r="J43" s="111">
        <v>899.56033812610588</v>
      </c>
      <c r="K43" s="111">
        <v>1119.1832662484042</v>
      </c>
      <c r="L43" s="111">
        <v>769.77436987836325</v>
      </c>
      <c r="M43" s="111">
        <v>913.90543824813517</v>
      </c>
      <c r="N43" s="111">
        <v>744.53600459905556</v>
      </c>
      <c r="O43" s="111">
        <v>911.89038667023317</v>
      </c>
      <c r="P43" s="111">
        <v>657.54210683306735</v>
      </c>
      <c r="Q43" s="111">
        <v>426.28836537388207</v>
      </c>
    </row>
    <row r="44" spans="1:17" s="109" customFormat="1" ht="10.199999999999999">
      <c r="A44" s="109" t="s">
        <v>147</v>
      </c>
      <c r="B44" s="111">
        <v>5792.8227626325006</v>
      </c>
      <c r="C44" s="111">
        <v>6135.9087915790897</v>
      </c>
      <c r="D44" s="111">
        <v>6975.3230849326183</v>
      </c>
      <c r="E44" s="111">
        <v>7844.9996863375673</v>
      </c>
      <c r="F44" s="111">
        <v>7645.310710856369</v>
      </c>
      <c r="G44" s="111">
        <v>6823.8989741033374</v>
      </c>
      <c r="H44" s="111">
        <v>7345.3604190777742</v>
      </c>
      <c r="I44" s="111">
        <v>8023.731845788976</v>
      </c>
      <c r="J44" s="111">
        <v>7892.7469606232862</v>
      </c>
      <c r="K44" s="111">
        <v>7808.1813929829823</v>
      </c>
      <c r="L44" s="111">
        <v>7228.2935081232081</v>
      </c>
      <c r="M44" s="111">
        <v>8009.2513220216733</v>
      </c>
      <c r="N44" s="111">
        <v>7279.8921211682245</v>
      </c>
      <c r="O44" s="111">
        <v>7786.5236658831782</v>
      </c>
      <c r="P44" s="111">
        <v>6513.2494487123286</v>
      </c>
      <c r="Q44" s="111">
        <v>5698.8542106479763</v>
      </c>
    </row>
    <row r="45" spans="1:17" s="109" customFormat="1" ht="10.199999999999999">
      <c r="A45" s="109" t="s">
        <v>146</v>
      </c>
      <c r="B45" s="111">
        <v>404.60553472906679</v>
      </c>
      <c r="C45" s="111">
        <v>434.62269308140083</v>
      </c>
      <c r="D45" s="111">
        <v>474.39354948798513</v>
      </c>
      <c r="E45" s="111">
        <v>510.462676806562</v>
      </c>
      <c r="F45" s="111">
        <v>529.07101230916248</v>
      </c>
      <c r="G45" s="111">
        <v>490.84947518687022</v>
      </c>
      <c r="H45" s="111">
        <v>543.21967654490038</v>
      </c>
      <c r="I45" s="111">
        <v>584.48115895836054</v>
      </c>
      <c r="J45" s="111">
        <v>567.76108603652983</v>
      </c>
      <c r="K45" s="111">
        <v>576.5841707567937</v>
      </c>
      <c r="L45" s="111">
        <v>547.48462669061757</v>
      </c>
      <c r="M45" s="111">
        <v>550.22147617778876</v>
      </c>
      <c r="N45" s="111">
        <v>517.22452586903785</v>
      </c>
      <c r="O45" s="111">
        <v>531.11940416343873</v>
      </c>
      <c r="P45" s="111">
        <v>506.05720285448757</v>
      </c>
      <c r="Q45" s="111">
        <v>473.4593429222902</v>
      </c>
    </row>
    <row r="46" spans="1:17" s="109" customFormat="1" ht="10.199999999999999">
      <c r="A46" s="109" t="s">
        <v>145</v>
      </c>
      <c r="B46" s="111">
        <v>1342.9546667810873</v>
      </c>
      <c r="C46" s="111">
        <v>1392.8586959494057</v>
      </c>
      <c r="D46" s="111">
        <v>1537.8560685207881</v>
      </c>
      <c r="E46" s="111">
        <v>1815.4336871622638</v>
      </c>
      <c r="F46" s="111">
        <v>2053.1306141771083</v>
      </c>
      <c r="G46" s="111">
        <v>1741.2271625716126</v>
      </c>
      <c r="H46" s="111">
        <v>2000.0287053544546</v>
      </c>
      <c r="I46" s="111">
        <v>2352.0422703515778</v>
      </c>
      <c r="J46" s="111">
        <v>2196.2710096916521</v>
      </c>
      <c r="K46" s="111">
        <v>2215.0865959815287</v>
      </c>
      <c r="L46" s="111">
        <v>2070.5146833202753</v>
      </c>
      <c r="M46" s="111">
        <v>2083.9364786722545</v>
      </c>
      <c r="N46" s="111">
        <v>1956.8248410240212</v>
      </c>
      <c r="O46" s="111">
        <v>2012.7551285881118</v>
      </c>
      <c r="P46" s="111">
        <v>1912.1976709135379</v>
      </c>
      <c r="Q46" s="111">
        <v>1792.3943834480981</v>
      </c>
    </row>
    <row r="47" spans="1:17" s="109" customFormat="1" ht="12">
      <c r="A47" s="116" t="s">
        <v>144</v>
      </c>
      <c r="B47" s="115">
        <v>20890.231</v>
      </c>
      <c r="C47" s="115">
        <v>22094.809993289353</v>
      </c>
      <c r="D47" s="115">
        <v>22907.223839915187</v>
      </c>
      <c r="E47" s="115">
        <v>23683.651352684134</v>
      </c>
      <c r="F47" s="115">
        <v>24681.275994764008</v>
      </c>
      <c r="G47" s="115">
        <v>24549.082244625031</v>
      </c>
      <c r="H47" s="115">
        <v>25259.563462988026</v>
      </c>
      <c r="I47" s="115">
        <v>26476.435814740977</v>
      </c>
      <c r="J47" s="115">
        <v>27544.615856804416</v>
      </c>
      <c r="K47" s="115">
        <v>27826.204627889245</v>
      </c>
      <c r="L47" s="115">
        <v>28384.675084769304</v>
      </c>
      <c r="M47" s="115">
        <v>29693.298692934917</v>
      </c>
      <c r="N47" s="115">
        <v>30287.456345217197</v>
      </c>
      <c r="O47" s="115">
        <v>29787.660218324188</v>
      </c>
      <c r="P47" s="115">
        <v>29713.235497004207</v>
      </c>
      <c r="Q47" s="115">
        <v>28885.185874774084</v>
      </c>
    </row>
    <row r="48" spans="1:17" s="109" customFormat="1" ht="10.199999999999999">
      <c r="A48" s="109" t="s">
        <v>143</v>
      </c>
      <c r="B48" s="111">
        <v>13158.933999999999</v>
      </c>
      <c r="C48" s="111">
        <v>14243.090827610358</v>
      </c>
      <c r="D48" s="111">
        <v>15179.958101681326</v>
      </c>
      <c r="E48" s="111">
        <v>15902.106352336839</v>
      </c>
      <c r="F48" s="111">
        <v>16882.2275857315</v>
      </c>
      <c r="G48" s="111">
        <v>16785.804247948727</v>
      </c>
      <c r="H48" s="111">
        <v>17267.736554974679</v>
      </c>
      <c r="I48" s="111">
        <v>18212.923471824335</v>
      </c>
      <c r="J48" s="111">
        <v>19356.767275025108</v>
      </c>
      <c r="K48" s="111">
        <v>19682.130415387968</v>
      </c>
      <c r="L48" s="111">
        <v>20039.747763698499</v>
      </c>
      <c r="M48" s="111">
        <v>21113.076380403683</v>
      </c>
      <c r="N48" s="111">
        <v>21122.018555126855</v>
      </c>
      <c r="O48" s="111">
        <v>20945.881345306982</v>
      </c>
      <c r="P48" s="111">
        <v>20931.959048646851</v>
      </c>
      <c r="Q48" s="111">
        <v>20140.960704102621</v>
      </c>
    </row>
    <row r="49" spans="1:17" s="109" customFormat="1" ht="10.199999999999999">
      <c r="A49" s="109" t="s">
        <v>142</v>
      </c>
      <c r="B49" s="111">
        <v>5602.7479999999996</v>
      </c>
      <c r="C49" s="111">
        <v>5680.3024517316171</v>
      </c>
      <c r="D49" s="111">
        <v>5486.6011996173293</v>
      </c>
      <c r="E49" s="111">
        <v>5496.7854418138613</v>
      </c>
      <c r="F49" s="111">
        <v>5446.890787844236</v>
      </c>
      <c r="G49" s="111">
        <v>5380.5826407271561</v>
      </c>
      <c r="H49" s="111">
        <v>5584.201490949642</v>
      </c>
      <c r="I49" s="111">
        <v>5784.6393410688243</v>
      </c>
      <c r="J49" s="111">
        <v>5634.2556673427625</v>
      </c>
      <c r="K49" s="111">
        <v>5549.0618335610798</v>
      </c>
      <c r="L49" s="111">
        <v>5710.5274784878884</v>
      </c>
      <c r="M49" s="111">
        <v>5874.4465588926405</v>
      </c>
      <c r="N49" s="111">
        <v>6458.8080071686836</v>
      </c>
      <c r="O49" s="111">
        <v>6083.4752731132112</v>
      </c>
      <c r="P49" s="111">
        <v>5921.9058938686776</v>
      </c>
      <c r="Q49" s="111">
        <v>5858.6258355947821</v>
      </c>
    </row>
    <row r="50" spans="1:17" s="109" customFormat="1" ht="10.199999999999999">
      <c r="A50" s="109" t="s">
        <v>141</v>
      </c>
      <c r="B50" s="111">
        <v>2128.5490000000023</v>
      </c>
      <c r="C50" s="111">
        <v>2171.4167139473743</v>
      </c>
      <c r="D50" s="111">
        <v>2240.6645386165292</v>
      </c>
      <c r="E50" s="111">
        <v>2284.7595585334293</v>
      </c>
      <c r="F50" s="111">
        <v>2352.1576211882707</v>
      </c>
      <c r="G50" s="111">
        <v>2382.6953559491458</v>
      </c>
      <c r="H50" s="111">
        <v>2407.6254170637098</v>
      </c>
      <c r="I50" s="111">
        <v>2478.8730018478236</v>
      </c>
      <c r="J50" s="111">
        <v>2553.5929144365405</v>
      </c>
      <c r="K50" s="111">
        <v>2595.012378940196</v>
      </c>
      <c r="L50" s="111">
        <v>2634.3998425829127</v>
      </c>
      <c r="M50" s="111">
        <v>2705.7757536385911</v>
      </c>
      <c r="N50" s="111">
        <v>2706.6297829216596</v>
      </c>
      <c r="O50" s="111">
        <v>2758.3035999039971</v>
      </c>
      <c r="P50" s="111">
        <v>2859.3705544886766</v>
      </c>
      <c r="Q50" s="111">
        <v>2885.5993350766835</v>
      </c>
    </row>
    <row r="51" spans="1:17" s="109" customFormat="1" ht="12">
      <c r="A51" s="116" t="s">
        <v>66</v>
      </c>
      <c r="B51" s="115">
        <v>42662.908999999985</v>
      </c>
      <c r="C51" s="115">
        <v>47244.279053952276</v>
      </c>
      <c r="D51" s="115">
        <v>53449.288188532097</v>
      </c>
      <c r="E51" s="115">
        <v>59805.193251748657</v>
      </c>
      <c r="F51" s="115">
        <v>63181.772765203619</v>
      </c>
      <c r="G51" s="115">
        <v>50872.30228208418</v>
      </c>
      <c r="H51" s="115">
        <v>58913.105893589702</v>
      </c>
      <c r="I51" s="115">
        <v>65456.039024935963</v>
      </c>
      <c r="J51" s="115">
        <v>62681.196167635848</v>
      </c>
      <c r="K51" s="115">
        <v>62565.133076678918</v>
      </c>
      <c r="L51" s="115">
        <v>60314.189774332655</v>
      </c>
      <c r="M51" s="115">
        <v>61818.234669650134</v>
      </c>
      <c r="N51" s="115">
        <v>54255.20158566031</v>
      </c>
      <c r="O51" s="115">
        <v>60997.482612184504</v>
      </c>
      <c r="P51" s="115">
        <v>61114.390966502717</v>
      </c>
      <c r="Q51" s="115">
        <v>56691.713521816673</v>
      </c>
    </row>
    <row r="52" spans="1:17" s="109" customFormat="1" ht="12">
      <c r="A52" s="116" t="s">
        <v>140</v>
      </c>
      <c r="B52" s="115">
        <v>84589.879482889213</v>
      </c>
      <c r="C52" s="115">
        <v>93403.336800886042</v>
      </c>
      <c r="D52" s="115">
        <v>103192.58914629916</v>
      </c>
      <c r="E52" s="115">
        <v>115257.11590323717</v>
      </c>
      <c r="F52" s="115">
        <v>121385.28814009592</v>
      </c>
      <c r="G52" s="115">
        <v>111668.82432475379</v>
      </c>
      <c r="H52" s="115">
        <v>125590.07007707447</v>
      </c>
      <c r="I52" s="115">
        <v>139049.73760864022</v>
      </c>
      <c r="J52" s="115">
        <v>135389.55317116762</v>
      </c>
      <c r="K52" s="115">
        <v>138823.58635262557</v>
      </c>
      <c r="L52" s="115">
        <v>129308.56025956728</v>
      </c>
      <c r="M52" s="115">
        <v>134282.53263789081</v>
      </c>
      <c r="N52" s="115">
        <v>129844.24172167851</v>
      </c>
      <c r="O52" s="115">
        <v>132656.84968625262</v>
      </c>
      <c r="P52" s="115">
        <v>127238.90273274781</v>
      </c>
      <c r="Q52" s="115">
        <v>117206.9182757348</v>
      </c>
    </row>
    <row r="53" spans="1:17" s="109" customFormat="1" ht="12">
      <c r="A53" s="116" t="s">
        <v>139</v>
      </c>
      <c r="B53" s="115">
        <v>17939.334444208471</v>
      </c>
      <c r="C53" s="115">
        <v>20211.50831498405</v>
      </c>
      <c r="D53" s="115">
        <v>22642.768542291218</v>
      </c>
      <c r="E53" s="115">
        <v>25162.144034854242</v>
      </c>
      <c r="F53" s="115">
        <v>25418.046280033945</v>
      </c>
      <c r="G53" s="115">
        <v>24970.145233897401</v>
      </c>
      <c r="H53" s="115">
        <v>27090.06493406876</v>
      </c>
      <c r="I53" s="115">
        <v>28611.527158837456</v>
      </c>
      <c r="J53" s="115">
        <v>29085.870057340806</v>
      </c>
      <c r="K53" s="115">
        <v>29105.68189249753</v>
      </c>
      <c r="L53" s="115">
        <v>28577.731940349491</v>
      </c>
      <c r="M53" s="115">
        <v>28983.693889351049</v>
      </c>
      <c r="N53" s="115">
        <v>29602.258140879545</v>
      </c>
      <c r="O53" s="115">
        <v>30410.046375837894</v>
      </c>
      <c r="P53" s="115">
        <v>30295.834653901973</v>
      </c>
      <c r="Q53" s="115">
        <v>30165.217893205463</v>
      </c>
    </row>
    <row r="54" spans="1:17" s="109" customFormat="1" ht="10.199999999999999">
      <c r="A54" s="109" t="s">
        <v>138</v>
      </c>
      <c r="B54" s="111">
        <v>2777.9494442084715</v>
      </c>
      <c r="C54" s="111">
        <v>2993.3288987658016</v>
      </c>
      <c r="D54" s="111">
        <v>3320.2363141332476</v>
      </c>
      <c r="E54" s="111">
        <v>3545.7034156733989</v>
      </c>
      <c r="F54" s="111">
        <v>3393.1700941866484</v>
      </c>
      <c r="G54" s="111">
        <v>3015.4573082005154</v>
      </c>
      <c r="H54" s="111">
        <v>3554.9688635706493</v>
      </c>
      <c r="I54" s="111">
        <v>3560.630305602745</v>
      </c>
      <c r="J54" s="111">
        <v>3552.8624632667011</v>
      </c>
      <c r="K54" s="111">
        <v>3548.5874580204704</v>
      </c>
      <c r="L54" s="111">
        <v>3723.1434841105529</v>
      </c>
      <c r="M54" s="111">
        <v>3736.1554411113202</v>
      </c>
      <c r="N54" s="111">
        <v>3689.7435941722169</v>
      </c>
      <c r="O54" s="111">
        <v>3860.7576490046663</v>
      </c>
      <c r="P54" s="111">
        <v>3886.856632078553</v>
      </c>
      <c r="Q54" s="111">
        <v>4002.901696620062</v>
      </c>
    </row>
    <row r="55" spans="1:17" s="109" customFormat="1" ht="10.199999999999999">
      <c r="A55" s="109" t="s">
        <v>137</v>
      </c>
      <c r="B55" s="111">
        <v>15161.384999999998</v>
      </c>
      <c r="C55" s="111">
        <v>17218.179416218249</v>
      </c>
      <c r="D55" s="111">
        <v>19322.532228157972</v>
      </c>
      <c r="E55" s="111">
        <v>21616.440619180845</v>
      </c>
      <c r="F55" s="111">
        <v>22024.876185847297</v>
      </c>
      <c r="G55" s="111">
        <v>21954.687925696886</v>
      </c>
      <c r="H55" s="111">
        <v>23535.096070498108</v>
      </c>
      <c r="I55" s="111">
        <v>25050.896853234713</v>
      </c>
      <c r="J55" s="111">
        <v>25533.007594074104</v>
      </c>
      <c r="K55" s="111">
        <v>25557.094434477058</v>
      </c>
      <c r="L55" s="111">
        <v>24854.58845623894</v>
      </c>
      <c r="M55" s="111">
        <v>25247.538448239728</v>
      </c>
      <c r="N55" s="111">
        <v>25912.514546707327</v>
      </c>
      <c r="O55" s="111">
        <v>26549.288726833223</v>
      </c>
      <c r="P55" s="111">
        <v>26408.978021823419</v>
      </c>
      <c r="Q55" s="111">
        <v>26162.316196585401</v>
      </c>
    </row>
    <row r="56" spans="1:17" s="109" customFormat="1" ht="12">
      <c r="A56" s="116" t="s">
        <v>136</v>
      </c>
      <c r="B56" s="115">
        <v>68940.393784151587</v>
      </c>
      <c r="C56" s="115">
        <v>79890.491498904026</v>
      </c>
      <c r="D56" s="115">
        <v>90346.159048705944</v>
      </c>
      <c r="E56" s="115">
        <v>102888.32193306572</v>
      </c>
      <c r="F56" s="115">
        <v>108460.8278835423</v>
      </c>
      <c r="G56" s="115">
        <v>106962.57786979065</v>
      </c>
      <c r="H56" s="115">
        <v>118436.7448627235</v>
      </c>
      <c r="I56" s="115">
        <v>125046.56093920044</v>
      </c>
      <c r="J56" s="115">
        <v>125294.85011574507</v>
      </c>
      <c r="K56" s="115">
        <v>129091.75570592383</v>
      </c>
      <c r="L56" s="115">
        <v>130014.63517547051</v>
      </c>
      <c r="M56" s="115">
        <v>133622.88101434507</v>
      </c>
      <c r="N56" s="115">
        <v>138095.22108220315</v>
      </c>
      <c r="O56" s="115">
        <v>141986.97234669162</v>
      </c>
      <c r="P56" s="115">
        <v>138099.20919769304</v>
      </c>
      <c r="Q56" s="115">
        <v>137080.91496009659</v>
      </c>
    </row>
    <row r="57" spans="1:17" s="109" customFormat="1" ht="10.199999999999999">
      <c r="A57" s="109" t="s">
        <v>135</v>
      </c>
      <c r="B57" s="111">
        <v>47989.185571340335</v>
      </c>
      <c r="C57" s="111">
        <v>53168.217939414586</v>
      </c>
      <c r="D57" s="111">
        <v>57218.119098170835</v>
      </c>
      <c r="E57" s="111">
        <v>62360.365852880925</v>
      </c>
      <c r="F57" s="111">
        <v>62564.624057419285</v>
      </c>
      <c r="G57" s="111">
        <v>57639.702165083654</v>
      </c>
      <c r="H57" s="111">
        <v>65672.411325945548</v>
      </c>
      <c r="I57" s="111">
        <v>68977.400693611678</v>
      </c>
      <c r="J57" s="111">
        <v>66542.075356536996</v>
      </c>
      <c r="K57" s="111">
        <v>68355.327154069935</v>
      </c>
      <c r="L57" s="111">
        <v>66842.542306340052</v>
      </c>
      <c r="M57" s="111">
        <v>68315.963831188536</v>
      </c>
      <c r="N57" s="111">
        <v>69843.598763102375</v>
      </c>
      <c r="O57" s="111">
        <v>73199.263189297722</v>
      </c>
      <c r="P57" s="111">
        <v>71294.191200278117</v>
      </c>
      <c r="Q57" s="111">
        <v>71683.461615651366</v>
      </c>
    </row>
    <row r="58" spans="1:17" s="109" customFormat="1" ht="10.199999999999999">
      <c r="A58" s="109" t="s">
        <v>134</v>
      </c>
      <c r="B58" s="111">
        <v>20951.208212811256</v>
      </c>
      <c r="C58" s="111">
        <v>26722.27355948944</v>
      </c>
      <c r="D58" s="111">
        <v>33128.039950535102</v>
      </c>
      <c r="E58" s="111">
        <v>40527.956080184798</v>
      </c>
      <c r="F58" s="111">
        <v>45896.203826123012</v>
      </c>
      <c r="G58" s="111">
        <v>49322.875704706996</v>
      </c>
      <c r="H58" s="111">
        <v>52764.333536777958</v>
      </c>
      <c r="I58" s="111">
        <v>56069.160245588755</v>
      </c>
      <c r="J58" s="111">
        <v>58752.774759208063</v>
      </c>
      <c r="K58" s="111">
        <v>60736.428551853882</v>
      </c>
      <c r="L58" s="111">
        <v>63172.092869130465</v>
      </c>
      <c r="M58" s="111">
        <v>65306.917183156547</v>
      </c>
      <c r="N58" s="111">
        <v>68251.622319100774</v>
      </c>
      <c r="O58" s="111">
        <v>68787.709157393881</v>
      </c>
      <c r="P58" s="111">
        <v>66805.017997414921</v>
      </c>
      <c r="Q58" s="111">
        <v>65397.453344445232</v>
      </c>
    </row>
    <row r="59" spans="1:17" s="109" customFormat="1" ht="12">
      <c r="A59" s="116" t="s">
        <v>133</v>
      </c>
      <c r="B59" s="115">
        <v>25445.955991024868</v>
      </c>
      <c r="C59" s="115">
        <v>28029.923467587112</v>
      </c>
      <c r="D59" s="115">
        <v>31669.252232974744</v>
      </c>
      <c r="E59" s="115">
        <v>36200.867447312026</v>
      </c>
      <c r="F59" s="115">
        <v>38225.682814846172</v>
      </c>
      <c r="G59" s="115">
        <v>37385.455911277008</v>
      </c>
      <c r="H59" s="115">
        <v>37786.386171782782</v>
      </c>
      <c r="I59" s="115">
        <v>41650.850856750301</v>
      </c>
      <c r="J59" s="115">
        <v>44632.60370143217</v>
      </c>
      <c r="K59" s="115">
        <v>46753.3686769259</v>
      </c>
      <c r="L59" s="115">
        <v>45407.476826334067</v>
      </c>
      <c r="M59" s="115">
        <v>45956.541375339853</v>
      </c>
      <c r="N59" s="115">
        <v>44659.814094749396</v>
      </c>
      <c r="O59" s="115">
        <v>46799.25197944032</v>
      </c>
      <c r="P59" s="115">
        <v>48545.988247136615</v>
      </c>
      <c r="Q59" s="115">
        <v>43392.14267395428</v>
      </c>
    </row>
    <row r="60" spans="1:17" s="109" customFormat="1" ht="10.199999999999999">
      <c r="A60" s="109" t="s">
        <v>132</v>
      </c>
      <c r="B60" s="111">
        <v>14323.948517287377</v>
      </c>
      <c r="C60" s="111">
        <v>16031.482791668695</v>
      </c>
      <c r="D60" s="111">
        <v>18706.211745466724</v>
      </c>
      <c r="E60" s="111">
        <v>21797.653176317115</v>
      </c>
      <c r="F60" s="111">
        <v>23421.994747895387</v>
      </c>
      <c r="G60" s="111">
        <v>23291.04364354855</v>
      </c>
      <c r="H60" s="111">
        <v>22795.108451160522</v>
      </c>
      <c r="I60" s="111">
        <v>25122.86244332854</v>
      </c>
      <c r="J60" s="111">
        <v>27417.856586637405</v>
      </c>
      <c r="K60" s="111">
        <v>28152.798249455107</v>
      </c>
      <c r="L60" s="111">
        <v>26484.084205622297</v>
      </c>
      <c r="M60" s="111">
        <v>26469.61325933001</v>
      </c>
      <c r="N60" s="111">
        <v>24846.4541675246</v>
      </c>
      <c r="O60" s="111">
        <v>26521.778645234652</v>
      </c>
      <c r="P60" s="111">
        <v>27578.245208252432</v>
      </c>
      <c r="Q60" s="111">
        <v>22603.310787231443</v>
      </c>
    </row>
    <row r="61" spans="1:17" s="109" customFormat="1" ht="10.199999999999999">
      <c r="A61" s="109" t="s">
        <v>131</v>
      </c>
      <c r="B61" s="111">
        <v>8918.7025460500081</v>
      </c>
      <c r="C61" s="111">
        <v>9652.7537204092423</v>
      </c>
      <c r="D61" s="111">
        <v>10430.438751579997</v>
      </c>
      <c r="E61" s="111">
        <v>11507.622871682492</v>
      </c>
      <c r="F61" s="111">
        <v>11513.684530644587</v>
      </c>
      <c r="G61" s="111">
        <v>10837.116073854615</v>
      </c>
      <c r="H61" s="111">
        <v>11605.520096189513</v>
      </c>
      <c r="I61" s="111">
        <v>12771.247188744461</v>
      </c>
      <c r="J61" s="111">
        <v>13349.807695324776</v>
      </c>
      <c r="K61" s="111">
        <v>14608.774674092812</v>
      </c>
      <c r="L61" s="111">
        <v>15099.589534270975</v>
      </c>
      <c r="M61" s="111">
        <v>15509.671336808067</v>
      </c>
      <c r="N61" s="111">
        <v>15885.19627594671</v>
      </c>
      <c r="O61" s="111">
        <v>16031.491413343807</v>
      </c>
      <c r="P61" s="111">
        <v>16613.256102671945</v>
      </c>
      <c r="Q61" s="111">
        <v>16645.383696413861</v>
      </c>
    </row>
    <row r="62" spans="1:17" s="109" customFormat="1" ht="10.199999999999999">
      <c r="A62" s="109" t="s">
        <v>130</v>
      </c>
      <c r="B62" s="111">
        <v>2203.3049276874794</v>
      </c>
      <c r="C62" s="111">
        <v>2345.6869555091757</v>
      </c>
      <c r="D62" s="111">
        <v>2532.6017359280299</v>
      </c>
      <c r="E62" s="111">
        <v>2895.5913993124245</v>
      </c>
      <c r="F62" s="111">
        <v>3290.0035363062016</v>
      </c>
      <c r="G62" s="111">
        <v>3257.2961938738499</v>
      </c>
      <c r="H62" s="111">
        <v>3385.7576244327424</v>
      </c>
      <c r="I62" s="111">
        <v>3756.7412246773033</v>
      </c>
      <c r="J62" s="111">
        <v>3864.939419469993</v>
      </c>
      <c r="K62" s="111">
        <v>3991.79575337798</v>
      </c>
      <c r="L62" s="111">
        <v>3823.8030864407947</v>
      </c>
      <c r="M62" s="111">
        <v>3977.2567792017762</v>
      </c>
      <c r="N62" s="111">
        <v>3928.1636512780919</v>
      </c>
      <c r="O62" s="111">
        <v>4245.981920861851</v>
      </c>
      <c r="P62" s="111">
        <v>4354.4869362122445</v>
      </c>
      <c r="Q62" s="111">
        <v>4143.4481903089727</v>
      </c>
    </row>
    <row r="63" spans="1:17" s="109" customFormat="1" ht="12">
      <c r="A63" s="116" t="s">
        <v>129</v>
      </c>
      <c r="B63" s="115">
        <v>71128.773496224312</v>
      </c>
      <c r="C63" s="115">
        <v>75799.276018777673</v>
      </c>
      <c r="D63" s="115">
        <v>81403.096329832639</v>
      </c>
      <c r="E63" s="115">
        <v>87019.238759795189</v>
      </c>
      <c r="F63" s="115">
        <v>92422.900436842363</v>
      </c>
      <c r="G63" s="115">
        <v>89462.436662520762</v>
      </c>
      <c r="H63" s="115">
        <v>94318.0402169765</v>
      </c>
      <c r="I63" s="115">
        <v>99172.579912568151</v>
      </c>
      <c r="J63" s="115">
        <v>98384.830144166815</v>
      </c>
      <c r="K63" s="115">
        <v>98998.160587838502</v>
      </c>
      <c r="L63" s="115">
        <v>98006.034106798965</v>
      </c>
      <c r="M63" s="115">
        <v>99785.327727911717</v>
      </c>
      <c r="N63" s="115">
        <v>99491.998781497474</v>
      </c>
      <c r="O63" s="115">
        <v>102715.62996074733</v>
      </c>
      <c r="P63" s="115">
        <v>104878.68069477064</v>
      </c>
      <c r="Q63" s="115">
        <v>104007.66043929916</v>
      </c>
    </row>
    <row r="64" spans="1:17" s="109" customFormat="1" ht="10.199999999999999">
      <c r="A64" s="109" t="s">
        <v>128</v>
      </c>
      <c r="B64" s="111">
        <v>30572.376766312751</v>
      </c>
      <c r="C64" s="111">
        <v>31146.925430615956</v>
      </c>
      <c r="D64" s="111">
        <v>31905.616346221879</v>
      </c>
      <c r="E64" s="111">
        <v>32733.982057086763</v>
      </c>
      <c r="F64" s="111">
        <v>33589.479444655895</v>
      </c>
      <c r="G64" s="111">
        <v>34322.029437306446</v>
      </c>
      <c r="H64" s="111">
        <v>35181.864933713478</v>
      </c>
      <c r="I64" s="111">
        <v>35776.065442059044</v>
      </c>
      <c r="J64" s="111">
        <v>36612.303247899144</v>
      </c>
      <c r="K64" s="111">
        <v>37269.259480432032</v>
      </c>
      <c r="L64" s="111">
        <v>37911.378613205459</v>
      </c>
      <c r="M64" s="111">
        <v>38426.327087887534</v>
      </c>
      <c r="N64" s="111">
        <v>38992.034305378664</v>
      </c>
      <c r="O64" s="111">
        <v>39609.091322761742</v>
      </c>
      <c r="P64" s="111">
        <v>40266.697516484412</v>
      </c>
      <c r="Q64" s="111">
        <v>40921.709661210763</v>
      </c>
    </row>
    <row r="65" spans="1:17" s="109" customFormat="1" ht="10.199999999999999">
      <c r="A65" s="109" t="s">
        <v>127</v>
      </c>
      <c r="B65" s="111">
        <v>40556.396729911561</v>
      </c>
      <c r="C65" s="111">
        <v>44652.350588161717</v>
      </c>
      <c r="D65" s="111">
        <v>49497.47998361077</v>
      </c>
      <c r="E65" s="111">
        <v>54285.25670270843</v>
      </c>
      <c r="F65" s="111">
        <v>58833.420992186475</v>
      </c>
      <c r="G65" s="111">
        <v>55140.407225214309</v>
      </c>
      <c r="H65" s="111">
        <v>59136.175283263001</v>
      </c>
      <c r="I65" s="111">
        <v>63396.514470509115</v>
      </c>
      <c r="J65" s="111">
        <v>61772.526896267671</v>
      </c>
      <c r="K65" s="111">
        <v>61728.901107406469</v>
      </c>
      <c r="L65" s="111">
        <v>60094.655493593498</v>
      </c>
      <c r="M65" s="111">
        <v>61359.000640024169</v>
      </c>
      <c r="N65" s="111">
        <v>60499.964476118825</v>
      </c>
      <c r="O65" s="111">
        <v>63106.53863798557</v>
      </c>
      <c r="P65" s="111">
        <v>64611.983178286217</v>
      </c>
      <c r="Q65" s="111">
        <v>63085.950778088394</v>
      </c>
    </row>
    <row r="66" spans="1:17" s="109" customFormat="1" ht="24">
      <c r="A66" s="116" t="s">
        <v>126</v>
      </c>
      <c r="B66" s="115">
        <v>32639.127405501851</v>
      </c>
      <c r="C66" s="115">
        <v>35622.830949744843</v>
      </c>
      <c r="D66" s="115">
        <v>36892.194611047249</v>
      </c>
      <c r="E66" s="115">
        <v>39656.921966361508</v>
      </c>
      <c r="F66" s="115">
        <v>41587.507187452757</v>
      </c>
      <c r="G66" s="115">
        <v>43457.023651902135</v>
      </c>
      <c r="H66" s="115">
        <v>45977.61746401147</v>
      </c>
      <c r="I66" s="115">
        <v>47686.628304327423</v>
      </c>
      <c r="J66" s="115">
        <v>48503.53184266256</v>
      </c>
      <c r="K66" s="115">
        <v>50568.572690025496</v>
      </c>
      <c r="L66" s="115">
        <v>50895.328446422078</v>
      </c>
      <c r="M66" s="115">
        <v>53531.10138956095</v>
      </c>
      <c r="N66" s="115">
        <v>51346.051952490707</v>
      </c>
      <c r="O66" s="115">
        <v>53020.839715347705</v>
      </c>
      <c r="P66" s="115">
        <v>50743.566282646942</v>
      </c>
      <c r="Q66" s="115">
        <v>49224.770027894243</v>
      </c>
    </row>
    <row r="67" spans="1:17" s="109" customFormat="1" ht="12">
      <c r="A67" s="116" t="s">
        <v>125</v>
      </c>
      <c r="B67" s="115">
        <v>20526.387331399303</v>
      </c>
      <c r="C67" s="115">
        <v>21861.694368428376</v>
      </c>
      <c r="D67" s="115">
        <v>22806.99380906939</v>
      </c>
      <c r="E67" s="115">
        <v>24121.893144132871</v>
      </c>
      <c r="F67" s="115">
        <v>25146.314194062808</v>
      </c>
      <c r="G67" s="115">
        <v>26131.647474788533</v>
      </c>
      <c r="H67" s="115">
        <v>27187.946547030257</v>
      </c>
      <c r="I67" s="115">
        <v>28262.617123051747</v>
      </c>
      <c r="J67" s="115">
        <v>29048.40388150933</v>
      </c>
      <c r="K67" s="115">
        <v>29844.512139485596</v>
      </c>
      <c r="L67" s="115">
        <v>30481.285948978741</v>
      </c>
      <c r="M67" s="115">
        <v>31772.324122311697</v>
      </c>
      <c r="N67" s="115">
        <v>31907.368101388282</v>
      </c>
      <c r="O67" s="115">
        <v>32280.927635577347</v>
      </c>
      <c r="P67" s="115">
        <v>32504.605312268141</v>
      </c>
      <c r="Q67" s="115">
        <v>32764.865417599023</v>
      </c>
    </row>
    <row r="68" spans="1:17" s="109" customFormat="1" ht="10.199999999999999">
      <c r="A68" s="109" t="s">
        <v>124</v>
      </c>
      <c r="B68" s="111">
        <v>13820.126331399302</v>
      </c>
      <c r="C68" s="111">
        <v>14704.369339933284</v>
      </c>
      <c r="D68" s="111">
        <v>15218.508102717482</v>
      </c>
      <c r="E68" s="111">
        <v>16151.003209068453</v>
      </c>
      <c r="F68" s="111">
        <v>16801.370006719178</v>
      </c>
      <c r="G68" s="111">
        <v>17572.55552843049</v>
      </c>
      <c r="H68" s="111">
        <v>18387.241431634106</v>
      </c>
      <c r="I68" s="111">
        <v>19091.899847768647</v>
      </c>
      <c r="J68" s="111">
        <v>19591.340196440535</v>
      </c>
      <c r="K68" s="111">
        <v>20143.669251253494</v>
      </c>
      <c r="L68" s="111">
        <v>20550.009821158634</v>
      </c>
      <c r="M68" s="111">
        <v>21492.947237480661</v>
      </c>
      <c r="N68" s="111">
        <v>21420.576441001434</v>
      </c>
      <c r="O68" s="111">
        <v>21554.893711843641</v>
      </c>
      <c r="P68" s="111">
        <v>21474.059561577957</v>
      </c>
      <c r="Q68" s="111">
        <v>21551.592009669148</v>
      </c>
    </row>
    <row r="69" spans="1:17" s="109" customFormat="1" ht="10.199999999999999">
      <c r="A69" s="109" t="s">
        <v>123</v>
      </c>
      <c r="B69" s="111">
        <v>6706.2610000000004</v>
      </c>
      <c r="C69" s="111">
        <v>7157.3250284950918</v>
      </c>
      <c r="D69" s="111">
        <v>7588.4857063519094</v>
      </c>
      <c r="E69" s="111">
        <v>7970.889935064416</v>
      </c>
      <c r="F69" s="111">
        <v>8344.9441873436263</v>
      </c>
      <c r="G69" s="111">
        <v>8559.0919463580394</v>
      </c>
      <c r="H69" s="111">
        <v>8800.7051153961493</v>
      </c>
      <c r="I69" s="111">
        <v>9170.7172752831029</v>
      </c>
      <c r="J69" s="111">
        <v>9457.0636850687933</v>
      </c>
      <c r="K69" s="111">
        <v>9700.8428882321004</v>
      </c>
      <c r="L69" s="111">
        <v>9931.2761278201069</v>
      </c>
      <c r="M69" s="111">
        <v>10279.376884831032</v>
      </c>
      <c r="N69" s="111">
        <v>10486.791660386849</v>
      </c>
      <c r="O69" s="111">
        <v>10726.033923733707</v>
      </c>
      <c r="P69" s="111">
        <v>11030.545750690184</v>
      </c>
      <c r="Q69" s="111">
        <v>11213.273407929873</v>
      </c>
    </row>
    <row r="70" spans="1:17" s="109" customFormat="1" ht="12">
      <c r="A70" s="116" t="s">
        <v>122</v>
      </c>
      <c r="B70" s="115">
        <v>22311.803797830729</v>
      </c>
      <c r="C70" s="115">
        <v>24564.680172504133</v>
      </c>
      <c r="D70" s="115">
        <v>25157.157143348231</v>
      </c>
      <c r="E70" s="115">
        <v>26880.739520271611</v>
      </c>
      <c r="F70" s="115">
        <v>28510.245097384362</v>
      </c>
      <c r="G70" s="115">
        <v>31152.6763375054</v>
      </c>
      <c r="H70" s="115">
        <v>32497.286266140753</v>
      </c>
      <c r="I70" s="115">
        <v>34033.237194174391</v>
      </c>
      <c r="J70" s="115">
        <v>35526.595217095288</v>
      </c>
      <c r="K70" s="115">
        <v>36621.143565922182</v>
      </c>
      <c r="L70" s="115">
        <v>37225.256282661547</v>
      </c>
      <c r="M70" s="115">
        <v>38667.022730856406</v>
      </c>
      <c r="N70" s="115">
        <v>38984.986440685687</v>
      </c>
      <c r="O70" s="115">
        <v>40288.05477716108</v>
      </c>
      <c r="P70" s="115">
        <v>40431.419229503852</v>
      </c>
      <c r="Q70" s="115">
        <v>40613.76044556321</v>
      </c>
    </row>
    <row r="71" spans="1:17" s="109" customFormat="1" ht="10.199999999999999">
      <c r="A71" s="109" t="s">
        <v>121</v>
      </c>
      <c r="B71" s="111">
        <v>6849.1087978307323</v>
      </c>
      <c r="C71" s="111">
        <v>7340.8091216976864</v>
      </c>
      <c r="D71" s="111">
        <v>7527.4501310075484</v>
      </c>
      <c r="E71" s="111">
        <v>8123.3690108360697</v>
      </c>
      <c r="F71" s="111">
        <v>8403.5998198456073</v>
      </c>
      <c r="G71" s="111">
        <v>9273.598876812528</v>
      </c>
      <c r="H71" s="111">
        <v>9526.8551118124342</v>
      </c>
      <c r="I71" s="111">
        <v>9831.0502892146797</v>
      </c>
      <c r="J71" s="111">
        <v>9996.8442765462532</v>
      </c>
      <c r="K71" s="111">
        <v>10475.987807227813</v>
      </c>
      <c r="L71" s="111">
        <v>10722.833073716503</v>
      </c>
      <c r="M71" s="111">
        <v>11493.269613594235</v>
      </c>
      <c r="N71" s="111">
        <v>10913.322253980105</v>
      </c>
      <c r="O71" s="111">
        <v>11447.689869178839</v>
      </c>
      <c r="P71" s="111">
        <v>11095.966654923051</v>
      </c>
      <c r="Q71" s="111">
        <v>11306.78939280218</v>
      </c>
    </row>
    <row r="72" spans="1:17" s="109" customFormat="1" ht="10.199999999999999">
      <c r="A72" s="109" t="s">
        <v>120</v>
      </c>
      <c r="B72" s="111">
        <v>15462.695</v>
      </c>
      <c r="C72" s="111">
        <v>17223.871050806447</v>
      </c>
      <c r="D72" s="111">
        <v>17629.707012340685</v>
      </c>
      <c r="E72" s="111">
        <v>18757.370509435543</v>
      </c>
      <c r="F72" s="111">
        <v>20106.645277538755</v>
      </c>
      <c r="G72" s="111">
        <v>21879.077460692875</v>
      </c>
      <c r="H72" s="111">
        <v>22970.431154328315</v>
      </c>
      <c r="I72" s="111">
        <v>24202.186904959715</v>
      </c>
      <c r="J72" s="111">
        <v>25529.750940549031</v>
      </c>
      <c r="K72" s="111">
        <v>26145.155758694375</v>
      </c>
      <c r="L72" s="111">
        <v>26502.423208945052</v>
      </c>
      <c r="M72" s="111">
        <v>27173.753117262171</v>
      </c>
      <c r="N72" s="111">
        <v>28071.664186705588</v>
      </c>
      <c r="O72" s="111">
        <v>28840.364907982235</v>
      </c>
      <c r="P72" s="111">
        <v>29335.452574580806</v>
      </c>
      <c r="Q72" s="111">
        <v>29306.97105276103</v>
      </c>
    </row>
    <row r="73" spans="1:17" s="109" customFormat="1" ht="12">
      <c r="A73" s="116" t="s">
        <v>119</v>
      </c>
      <c r="B73" s="115">
        <v>22974.451065802485</v>
      </c>
      <c r="C73" s="115">
        <v>24765.017273717913</v>
      </c>
      <c r="D73" s="115">
        <v>27215.065622739377</v>
      </c>
      <c r="E73" s="115">
        <v>28954.313669635027</v>
      </c>
      <c r="F73" s="115">
        <v>30415.79583193814</v>
      </c>
      <c r="G73" s="115">
        <v>30353.375523870236</v>
      </c>
      <c r="H73" s="115">
        <v>31805.244781988433</v>
      </c>
      <c r="I73" s="115">
        <v>32743.534320063434</v>
      </c>
      <c r="J73" s="115">
        <v>32998.565814181937</v>
      </c>
      <c r="K73" s="115">
        <v>32959.527386699694</v>
      </c>
      <c r="L73" s="115">
        <v>32225.807270661353</v>
      </c>
      <c r="M73" s="115">
        <v>32178.896137192554</v>
      </c>
      <c r="N73" s="115">
        <v>31822.986004526869</v>
      </c>
      <c r="O73" s="115">
        <v>32229.616788363248</v>
      </c>
      <c r="P73" s="115">
        <v>31995.458561106341</v>
      </c>
      <c r="Q73" s="115">
        <v>31526.905030102902</v>
      </c>
    </row>
    <row r="74" spans="1:17" s="109" customFormat="1" ht="10.199999999999999">
      <c r="A74" s="109" t="s">
        <v>118</v>
      </c>
      <c r="B74" s="111">
        <v>2091.2244770695952</v>
      </c>
      <c r="C74" s="111">
        <v>2210.8690829692428</v>
      </c>
      <c r="D74" s="111">
        <v>2367.3915600867003</v>
      </c>
      <c r="E74" s="111">
        <v>2508.8970923986017</v>
      </c>
      <c r="F74" s="111">
        <v>2638.8022970281727</v>
      </c>
      <c r="G74" s="111">
        <v>2644.452441114895</v>
      </c>
      <c r="H74" s="111">
        <v>2817.0889779293311</v>
      </c>
      <c r="I74" s="111">
        <v>2969.2795435475591</v>
      </c>
      <c r="J74" s="111">
        <v>2968.2611334997268</v>
      </c>
      <c r="K74" s="111">
        <v>2804.8103224063589</v>
      </c>
      <c r="L74" s="111">
        <v>2834.3272261934471</v>
      </c>
      <c r="M74" s="111">
        <v>2950.9463454756851</v>
      </c>
      <c r="N74" s="111">
        <v>3017.7311903841992</v>
      </c>
      <c r="O74" s="111">
        <v>3064.351957715649</v>
      </c>
      <c r="P74" s="111">
        <v>3108.7054384055996</v>
      </c>
      <c r="Q74" s="111">
        <v>3236.2537932062737</v>
      </c>
    </row>
    <row r="75" spans="1:17" s="109" customFormat="1" ht="10.199999999999999">
      <c r="A75" s="109" t="s">
        <v>117</v>
      </c>
      <c r="B75" s="111">
        <v>7167.6093259885774</v>
      </c>
      <c r="C75" s="111">
        <v>7628.1811949030689</v>
      </c>
      <c r="D75" s="111">
        <v>7985.3414184984586</v>
      </c>
      <c r="E75" s="111">
        <v>8342.1281948721225</v>
      </c>
      <c r="F75" s="111">
        <v>8872.9609445746482</v>
      </c>
      <c r="G75" s="111">
        <v>9250.7604639843321</v>
      </c>
      <c r="H75" s="111">
        <v>9860.1855104600036</v>
      </c>
      <c r="I75" s="111">
        <v>10084.570035629738</v>
      </c>
      <c r="J75" s="111">
        <v>10399.265951291056</v>
      </c>
      <c r="K75" s="111">
        <v>10732.498471781786</v>
      </c>
      <c r="L75" s="111">
        <v>10982.979007794391</v>
      </c>
      <c r="M75" s="111">
        <v>11277.353883590786</v>
      </c>
      <c r="N75" s="111">
        <v>11368.129388326459</v>
      </c>
      <c r="O75" s="111">
        <v>11543.999772468547</v>
      </c>
      <c r="P75" s="111">
        <v>11738.754223335465</v>
      </c>
      <c r="Q75" s="111">
        <v>11816.213826155175</v>
      </c>
    </row>
    <row r="76" spans="1:17" s="109" customFormat="1" ht="10.199999999999999">
      <c r="A76" s="109" t="s">
        <v>116</v>
      </c>
      <c r="B76" s="111">
        <v>13715.617262744312</v>
      </c>
      <c r="C76" s="111">
        <v>14925.966995845602</v>
      </c>
      <c r="D76" s="111">
        <v>16862.332644154219</v>
      </c>
      <c r="E76" s="111">
        <v>18103.288382364299</v>
      </c>
      <c r="F76" s="111">
        <v>18904.032590335322</v>
      </c>
      <c r="G76" s="111">
        <v>18458.16261877101</v>
      </c>
      <c r="H76" s="111">
        <v>19127.970293599097</v>
      </c>
      <c r="I76" s="111">
        <v>19689.684740886136</v>
      </c>
      <c r="J76" s="111">
        <v>19631.038729391152</v>
      </c>
      <c r="K76" s="111">
        <v>19422.218592511541</v>
      </c>
      <c r="L76" s="111">
        <v>18408.501036673515</v>
      </c>
      <c r="M76" s="111">
        <v>17950.595908126081</v>
      </c>
      <c r="N76" s="111">
        <v>17437.125425816208</v>
      </c>
      <c r="O76" s="111">
        <v>17621.265058179055</v>
      </c>
      <c r="P76" s="111">
        <v>17147.998899365277</v>
      </c>
      <c r="Q76" s="111">
        <v>16474.437410741451</v>
      </c>
    </row>
    <row r="77" spans="1:17" s="109" customFormat="1" ht="12">
      <c r="A77" s="114" t="s">
        <v>115</v>
      </c>
      <c r="B77" s="113">
        <v>3042.848560114448</v>
      </c>
      <c r="C77" s="113">
        <v>3298.9441874035865</v>
      </c>
      <c r="D77" s="113">
        <v>3604.3769464309789</v>
      </c>
      <c r="E77" s="113">
        <v>3690.759269493688</v>
      </c>
      <c r="F77" s="113">
        <v>3825.0794198625349</v>
      </c>
      <c r="G77" s="113">
        <v>3911.8411173582758</v>
      </c>
      <c r="H77" s="113">
        <v>3927.7803038022898</v>
      </c>
      <c r="I77" s="113">
        <v>3975.4401928404877</v>
      </c>
      <c r="J77" s="113">
        <v>4154.3445389030539</v>
      </c>
      <c r="K77" s="113">
        <v>4247.095592648674</v>
      </c>
      <c r="L77" s="113">
        <v>4258.6372759435244</v>
      </c>
      <c r="M77" s="113">
        <v>4275.4507260709279</v>
      </c>
      <c r="N77" s="113">
        <v>4243.9123896177243</v>
      </c>
      <c r="O77" s="113">
        <v>4183.6303707148809</v>
      </c>
      <c r="P77" s="113">
        <v>4345.2731591734318</v>
      </c>
      <c r="Q77" s="113">
        <v>4537.6089554142527</v>
      </c>
    </row>
    <row r="78" spans="1:17" s="109" customFormat="1" ht="10.199999999999999"/>
    <row r="79" spans="1:17" s="109" customFormat="1" ht="11.4">
      <c r="A79" s="109" t="s">
        <v>114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s="109" customFormat="1" ht="11.4">
      <c r="A80" s="109" t="s">
        <v>113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s="109" customFormat="1" ht="10.199999999999999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1:17" s="109" customFormat="1" ht="10.199999999999999">
      <c r="A82" s="110" t="s">
        <v>112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s="109" customFormat="1" ht="10.199999999999999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s="109" customFormat="1" ht="10.199999999999999">
      <c r="A84" s="110" t="s">
        <v>111</v>
      </c>
    </row>
    <row r="85" spans="1:17" s="109" customFormat="1" ht="10.199999999999999"/>
    <row r="86" spans="1:17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1:17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1:17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1:17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1:17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1:17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1:17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1:17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1:17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1:17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</sheetData>
  <mergeCells count="16">
    <mergeCell ref="G6:G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</mergeCells>
  <pageMargins left="0.39370078740157483" right="0.39370078740157483" top="0.39370078740157483" bottom="0.39370078740157483" header="0" footer="0"/>
  <pageSetup paperSize="9" scale="60" orientation="landscape" horizontalDpi="4294967293" r:id="rId1"/>
  <headerFooter alignWithMargins="0"/>
  <rowBreaks count="1" manualBreakCount="1">
    <brk id="50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99D7-A0E4-4CB2-A1E8-F10D33EC5AC3}">
  <dimension ref="A1:R100"/>
  <sheetViews>
    <sheetView zoomScaleNormal="100" workbookViewId="0">
      <pane xSplit="1" ySplit="5" topLeftCell="D6" activePane="bottomRight" state="frozen"/>
      <selection activeCell="J19" sqref="J19:N43"/>
      <selection pane="topRight" activeCell="J19" sqref="J19:N43"/>
      <selection pane="bottomLeft" activeCell="J19" sqref="J19:N43"/>
      <selection pane="bottomRight" activeCell="N7" sqref="N7"/>
    </sheetView>
  </sheetViews>
  <sheetFormatPr baseColWidth="10" defaultColWidth="11.44140625" defaultRowHeight="13.8"/>
  <cols>
    <col min="1" max="1" width="81.88671875" style="108" customWidth="1"/>
    <col min="2" max="17" width="8.5546875" style="108" customWidth="1"/>
    <col min="18" max="256" width="11.44140625" style="108"/>
    <col min="257" max="257" width="81.88671875" style="108" customWidth="1"/>
    <col min="258" max="273" width="8.5546875" style="108" customWidth="1"/>
    <col min="274" max="512" width="11.44140625" style="108"/>
    <col min="513" max="513" width="81.88671875" style="108" customWidth="1"/>
    <col min="514" max="529" width="8.5546875" style="108" customWidth="1"/>
    <col min="530" max="768" width="11.44140625" style="108"/>
    <col min="769" max="769" width="81.88671875" style="108" customWidth="1"/>
    <col min="770" max="785" width="8.5546875" style="108" customWidth="1"/>
    <col min="786" max="1024" width="11.44140625" style="108"/>
    <col min="1025" max="1025" width="81.88671875" style="108" customWidth="1"/>
    <col min="1026" max="1041" width="8.5546875" style="108" customWidth="1"/>
    <col min="1042" max="1280" width="11.44140625" style="108"/>
    <col min="1281" max="1281" width="81.88671875" style="108" customWidth="1"/>
    <col min="1282" max="1297" width="8.5546875" style="108" customWidth="1"/>
    <col min="1298" max="1536" width="11.44140625" style="108"/>
    <col min="1537" max="1537" width="81.88671875" style="108" customWidth="1"/>
    <col min="1538" max="1553" width="8.5546875" style="108" customWidth="1"/>
    <col min="1554" max="1792" width="11.44140625" style="108"/>
    <col min="1793" max="1793" width="81.88671875" style="108" customWidth="1"/>
    <col min="1794" max="1809" width="8.5546875" style="108" customWidth="1"/>
    <col min="1810" max="2048" width="11.44140625" style="108"/>
    <col min="2049" max="2049" width="81.88671875" style="108" customWidth="1"/>
    <col min="2050" max="2065" width="8.5546875" style="108" customWidth="1"/>
    <col min="2066" max="2304" width="11.44140625" style="108"/>
    <col min="2305" max="2305" width="81.88671875" style="108" customWidth="1"/>
    <col min="2306" max="2321" width="8.5546875" style="108" customWidth="1"/>
    <col min="2322" max="2560" width="11.44140625" style="108"/>
    <col min="2561" max="2561" width="81.88671875" style="108" customWidth="1"/>
    <col min="2562" max="2577" width="8.5546875" style="108" customWidth="1"/>
    <col min="2578" max="2816" width="11.44140625" style="108"/>
    <col min="2817" max="2817" width="81.88671875" style="108" customWidth="1"/>
    <col min="2818" max="2833" width="8.5546875" style="108" customWidth="1"/>
    <col min="2834" max="3072" width="11.44140625" style="108"/>
    <col min="3073" max="3073" width="81.88671875" style="108" customWidth="1"/>
    <col min="3074" max="3089" width="8.5546875" style="108" customWidth="1"/>
    <col min="3090" max="3328" width="11.44140625" style="108"/>
    <col min="3329" max="3329" width="81.88671875" style="108" customWidth="1"/>
    <col min="3330" max="3345" width="8.5546875" style="108" customWidth="1"/>
    <col min="3346" max="3584" width="11.44140625" style="108"/>
    <col min="3585" max="3585" width="81.88671875" style="108" customWidth="1"/>
    <col min="3586" max="3601" width="8.5546875" style="108" customWidth="1"/>
    <col min="3602" max="3840" width="11.44140625" style="108"/>
    <col min="3841" max="3841" width="81.88671875" style="108" customWidth="1"/>
    <col min="3842" max="3857" width="8.5546875" style="108" customWidth="1"/>
    <col min="3858" max="4096" width="11.44140625" style="108"/>
    <col min="4097" max="4097" width="81.88671875" style="108" customWidth="1"/>
    <col min="4098" max="4113" width="8.5546875" style="108" customWidth="1"/>
    <col min="4114" max="4352" width="11.44140625" style="108"/>
    <col min="4353" max="4353" width="81.88671875" style="108" customWidth="1"/>
    <col min="4354" max="4369" width="8.5546875" style="108" customWidth="1"/>
    <col min="4370" max="4608" width="11.44140625" style="108"/>
    <col min="4609" max="4609" width="81.88671875" style="108" customWidth="1"/>
    <col min="4610" max="4625" width="8.5546875" style="108" customWidth="1"/>
    <col min="4626" max="4864" width="11.44140625" style="108"/>
    <col min="4865" max="4865" width="81.88671875" style="108" customWidth="1"/>
    <col min="4866" max="4881" width="8.5546875" style="108" customWidth="1"/>
    <col min="4882" max="5120" width="11.44140625" style="108"/>
    <col min="5121" max="5121" width="81.88671875" style="108" customWidth="1"/>
    <col min="5122" max="5137" width="8.5546875" style="108" customWidth="1"/>
    <col min="5138" max="5376" width="11.44140625" style="108"/>
    <col min="5377" max="5377" width="81.88671875" style="108" customWidth="1"/>
    <col min="5378" max="5393" width="8.5546875" style="108" customWidth="1"/>
    <col min="5394" max="5632" width="11.44140625" style="108"/>
    <col min="5633" max="5633" width="81.88671875" style="108" customWidth="1"/>
    <col min="5634" max="5649" width="8.5546875" style="108" customWidth="1"/>
    <col min="5650" max="5888" width="11.44140625" style="108"/>
    <col min="5889" max="5889" width="81.88671875" style="108" customWidth="1"/>
    <col min="5890" max="5905" width="8.5546875" style="108" customWidth="1"/>
    <col min="5906" max="6144" width="11.44140625" style="108"/>
    <col min="6145" max="6145" width="81.88671875" style="108" customWidth="1"/>
    <col min="6146" max="6161" width="8.5546875" style="108" customWidth="1"/>
    <col min="6162" max="6400" width="11.44140625" style="108"/>
    <col min="6401" max="6401" width="81.88671875" style="108" customWidth="1"/>
    <col min="6402" max="6417" width="8.5546875" style="108" customWidth="1"/>
    <col min="6418" max="6656" width="11.44140625" style="108"/>
    <col min="6657" max="6657" width="81.88671875" style="108" customWidth="1"/>
    <col min="6658" max="6673" width="8.5546875" style="108" customWidth="1"/>
    <col min="6674" max="6912" width="11.44140625" style="108"/>
    <col min="6913" max="6913" width="81.88671875" style="108" customWidth="1"/>
    <col min="6914" max="6929" width="8.5546875" style="108" customWidth="1"/>
    <col min="6930" max="7168" width="11.44140625" style="108"/>
    <col min="7169" max="7169" width="81.88671875" style="108" customWidth="1"/>
    <col min="7170" max="7185" width="8.5546875" style="108" customWidth="1"/>
    <col min="7186" max="7424" width="11.44140625" style="108"/>
    <col min="7425" max="7425" width="81.88671875" style="108" customWidth="1"/>
    <col min="7426" max="7441" width="8.5546875" style="108" customWidth="1"/>
    <col min="7442" max="7680" width="11.44140625" style="108"/>
    <col min="7681" max="7681" width="81.88671875" style="108" customWidth="1"/>
    <col min="7682" max="7697" width="8.5546875" style="108" customWidth="1"/>
    <col min="7698" max="7936" width="11.44140625" style="108"/>
    <col min="7937" max="7937" width="81.88671875" style="108" customWidth="1"/>
    <col min="7938" max="7953" width="8.5546875" style="108" customWidth="1"/>
    <col min="7954" max="8192" width="11.44140625" style="108"/>
    <col min="8193" max="8193" width="81.88671875" style="108" customWidth="1"/>
    <col min="8194" max="8209" width="8.5546875" style="108" customWidth="1"/>
    <col min="8210" max="8448" width="11.44140625" style="108"/>
    <col min="8449" max="8449" width="81.88671875" style="108" customWidth="1"/>
    <col min="8450" max="8465" width="8.5546875" style="108" customWidth="1"/>
    <col min="8466" max="8704" width="11.44140625" style="108"/>
    <col min="8705" max="8705" width="81.88671875" style="108" customWidth="1"/>
    <col min="8706" max="8721" width="8.5546875" style="108" customWidth="1"/>
    <col min="8722" max="8960" width="11.44140625" style="108"/>
    <col min="8961" max="8961" width="81.88671875" style="108" customWidth="1"/>
    <col min="8962" max="8977" width="8.5546875" style="108" customWidth="1"/>
    <col min="8978" max="9216" width="11.44140625" style="108"/>
    <col min="9217" max="9217" width="81.88671875" style="108" customWidth="1"/>
    <col min="9218" max="9233" width="8.5546875" style="108" customWidth="1"/>
    <col min="9234" max="9472" width="11.44140625" style="108"/>
    <col min="9473" max="9473" width="81.88671875" style="108" customWidth="1"/>
    <col min="9474" max="9489" width="8.5546875" style="108" customWidth="1"/>
    <col min="9490" max="9728" width="11.44140625" style="108"/>
    <col min="9729" max="9729" width="81.88671875" style="108" customWidth="1"/>
    <col min="9730" max="9745" width="8.5546875" style="108" customWidth="1"/>
    <col min="9746" max="9984" width="11.44140625" style="108"/>
    <col min="9985" max="9985" width="81.88671875" style="108" customWidth="1"/>
    <col min="9986" max="10001" width="8.5546875" style="108" customWidth="1"/>
    <col min="10002" max="10240" width="11.44140625" style="108"/>
    <col min="10241" max="10241" width="81.88671875" style="108" customWidth="1"/>
    <col min="10242" max="10257" width="8.5546875" style="108" customWidth="1"/>
    <col min="10258" max="10496" width="11.44140625" style="108"/>
    <col min="10497" max="10497" width="81.88671875" style="108" customWidth="1"/>
    <col min="10498" max="10513" width="8.5546875" style="108" customWidth="1"/>
    <col min="10514" max="10752" width="11.44140625" style="108"/>
    <col min="10753" max="10753" width="81.88671875" style="108" customWidth="1"/>
    <col min="10754" max="10769" width="8.5546875" style="108" customWidth="1"/>
    <col min="10770" max="11008" width="11.44140625" style="108"/>
    <col min="11009" max="11009" width="81.88671875" style="108" customWidth="1"/>
    <col min="11010" max="11025" width="8.5546875" style="108" customWidth="1"/>
    <col min="11026" max="11264" width="11.44140625" style="108"/>
    <col min="11265" max="11265" width="81.88671875" style="108" customWidth="1"/>
    <col min="11266" max="11281" width="8.5546875" style="108" customWidth="1"/>
    <col min="11282" max="11520" width="11.44140625" style="108"/>
    <col min="11521" max="11521" width="81.88671875" style="108" customWidth="1"/>
    <col min="11522" max="11537" width="8.5546875" style="108" customWidth="1"/>
    <col min="11538" max="11776" width="11.44140625" style="108"/>
    <col min="11777" max="11777" width="81.88671875" style="108" customWidth="1"/>
    <col min="11778" max="11793" width="8.5546875" style="108" customWidth="1"/>
    <col min="11794" max="12032" width="11.44140625" style="108"/>
    <col min="12033" max="12033" width="81.88671875" style="108" customWidth="1"/>
    <col min="12034" max="12049" width="8.5546875" style="108" customWidth="1"/>
    <col min="12050" max="12288" width="11.44140625" style="108"/>
    <col min="12289" max="12289" width="81.88671875" style="108" customWidth="1"/>
    <col min="12290" max="12305" width="8.5546875" style="108" customWidth="1"/>
    <col min="12306" max="12544" width="11.44140625" style="108"/>
    <col min="12545" max="12545" width="81.88671875" style="108" customWidth="1"/>
    <col min="12546" max="12561" width="8.5546875" style="108" customWidth="1"/>
    <col min="12562" max="12800" width="11.44140625" style="108"/>
    <col min="12801" max="12801" width="81.88671875" style="108" customWidth="1"/>
    <col min="12802" max="12817" width="8.5546875" style="108" customWidth="1"/>
    <col min="12818" max="13056" width="11.44140625" style="108"/>
    <col min="13057" max="13057" width="81.88671875" style="108" customWidth="1"/>
    <col min="13058" max="13073" width="8.5546875" style="108" customWidth="1"/>
    <col min="13074" max="13312" width="11.44140625" style="108"/>
    <col min="13313" max="13313" width="81.88671875" style="108" customWidth="1"/>
    <col min="13314" max="13329" width="8.5546875" style="108" customWidth="1"/>
    <col min="13330" max="13568" width="11.44140625" style="108"/>
    <col min="13569" max="13569" width="81.88671875" style="108" customWidth="1"/>
    <col min="13570" max="13585" width="8.5546875" style="108" customWidth="1"/>
    <col min="13586" max="13824" width="11.44140625" style="108"/>
    <col min="13825" max="13825" width="81.88671875" style="108" customWidth="1"/>
    <col min="13826" max="13841" width="8.5546875" style="108" customWidth="1"/>
    <col min="13842" max="14080" width="11.44140625" style="108"/>
    <col min="14081" max="14081" width="81.88671875" style="108" customWidth="1"/>
    <col min="14082" max="14097" width="8.5546875" style="108" customWidth="1"/>
    <col min="14098" max="14336" width="11.44140625" style="108"/>
    <col min="14337" max="14337" width="81.88671875" style="108" customWidth="1"/>
    <col min="14338" max="14353" width="8.5546875" style="108" customWidth="1"/>
    <col min="14354" max="14592" width="11.44140625" style="108"/>
    <col min="14593" max="14593" width="81.88671875" style="108" customWidth="1"/>
    <col min="14594" max="14609" width="8.5546875" style="108" customWidth="1"/>
    <col min="14610" max="14848" width="11.44140625" style="108"/>
    <col min="14849" max="14849" width="81.88671875" style="108" customWidth="1"/>
    <col min="14850" max="14865" width="8.5546875" style="108" customWidth="1"/>
    <col min="14866" max="15104" width="11.44140625" style="108"/>
    <col min="15105" max="15105" width="81.88671875" style="108" customWidth="1"/>
    <col min="15106" max="15121" width="8.5546875" style="108" customWidth="1"/>
    <col min="15122" max="15360" width="11.44140625" style="108"/>
    <col min="15361" max="15361" width="81.88671875" style="108" customWidth="1"/>
    <col min="15362" max="15377" width="8.5546875" style="108" customWidth="1"/>
    <col min="15378" max="15616" width="11.44140625" style="108"/>
    <col min="15617" max="15617" width="81.88671875" style="108" customWidth="1"/>
    <col min="15618" max="15633" width="8.5546875" style="108" customWidth="1"/>
    <col min="15634" max="15872" width="11.44140625" style="108"/>
    <col min="15873" max="15873" width="81.88671875" style="108" customWidth="1"/>
    <col min="15874" max="15889" width="8.5546875" style="108" customWidth="1"/>
    <col min="15890" max="16128" width="11.44140625" style="108"/>
    <col min="16129" max="16129" width="81.88671875" style="108" customWidth="1"/>
    <col min="16130" max="16145" width="8.5546875" style="108" customWidth="1"/>
    <col min="16146" max="16384" width="11.44140625" style="108"/>
  </cols>
  <sheetData>
    <row r="1" spans="1:17">
      <c r="A1" s="12" t="s">
        <v>188</v>
      </c>
    </row>
    <row r="2" spans="1:17">
      <c r="A2" s="12" t="s">
        <v>187</v>
      </c>
    </row>
    <row r="3" spans="1:17">
      <c r="A3" s="12"/>
    </row>
    <row r="4" spans="1:17" s="109" customFormat="1" ht="12.75" customHeight="1">
      <c r="A4" s="210"/>
      <c r="B4" s="208">
        <v>2004</v>
      </c>
      <c r="C4" s="208">
        <v>2005</v>
      </c>
      <c r="D4" s="208">
        <v>2006</v>
      </c>
      <c r="E4" s="208">
        <v>2007</v>
      </c>
      <c r="F4" s="208">
        <v>2008</v>
      </c>
      <c r="G4" s="208">
        <v>2009</v>
      </c>
      <c r="H4" s="208">
        <v>2010</v>
      </c>
      <c r="I4" s="208">
        <v>2011</v>
      </c>
      <c r="J4" s="208">
        <v>2012</v>
      </c>
      <c r="K4" s="208">
        <v>2013</v>
      </c>
      <c r="L4" s="208">
        <v>2014</v>
      </c>
      <c r="M4" s="208">
        <v>2015</v>
      </c>
      <c r="N4" s="208">
        <v>2016</v>
      </c>
      <c r="O4" s="208" t="s">
        <v>184</v>
      </c>
      <c r="P4" s="208" t="s">
        <v>183</v>
      </c>
      <c r="Q4" s="208" t="s">
        <v>182</v>
      </c>
    </row>
    <row r="5" spans="1:17" s="109" customFormat="1" ht="12.75" customHeight="1">
      <c r="A5" s="211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7" s="109" customFormat="1" ht="10.199999999999999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s="109" customFormat="1">
      <c r="A7" s="118" t="s">
        <v>181</v>
      </c>
      <c r="B7" s="115">
        <v>834611.78739119205</v>
      </c>
      <c r="C7" s="115">
        <v>990468.61001420941</v>
      </c>
      <c r="D7" s="115">
        <v>1211240.3729875258</v>
      </c>
      <c r="E7" s="115">
        <v>1507720.1768723046</v>
      </c>
      <c r="F7" s="115">
        <v>1906269.2945479103</v>
      </c>
      <c r="G7" s="115">
        <v>2043465.845024904</v>
      </c>
      <c r="H7" s="115">
        <v>2727712.9241435225</v>
      </c>
      <c r="I7" s="115">
        <v>3579678.7565675122</v>
      </c>
      <c r="J7" s="115">
        <v>4297498.5544038387</v>
      </c>
      <c r="K7" s="115">
        <v>5424020.7577296328</v>
      </c>
      <c r="L7" s="115">
        <v>7403186.4008542197</v>
      </c>
      <c r="M7" s="115">
        <v>9501705.03794064</v>
      </c>
      <c r="N7" s="115">
        <v>13145094.471149756</v>
      </c>
      <c r="O7" s="115">
        <v>16914143.508804649</v>
      </c>
      <c r="P7" s="115">
        <v>23549313.815420769</v>
      </c>
      <c r="Q7" s="115">
        <v>34854873.89461536</v>
      </c>
    </row>
    <row r="8" spans="1:17" s="109" customFormat="1" ht="10.199999999999999">
      <c r="A8" s="117"/>
    </row>
    <row r="9" spans="1:17" s="117" customFormat="1" ht="12">
      <c r="A9" s="116" t="s">
        <v>180</v>
      </c>
      <c r="B9" s="115">
        <v>71848.92728384104</v>
      </c>
      <c r="C9" s="115">
        <v>79903.069514331393</v>
      </c>
      <c r="D9" s="115">
        <v>87226.774398781068</v>
      </c>
      <c r="E9" s="115">
        <v>119748.84293020537</v>
      </c>
      <c r="F9" s="115">
        <v>150192.58994346394</v>
      </c>
      <c r="G9" s="115">
        <v>130294.64126493213</v>
      </c>
      <c r="H9" s="115">
        <v>207071.84195861244</v>
      </c>
      <c r="I9" s="115">
        <v>266435.8440830285</v>
      </c>
      <c r="J9" s="115">
        <v>281790.86956637702</v>
      </c>
      <c r="K9" s="115">
        <v>361620.53662025684</v>
      </c>
      <c r="L9" s="115">
        <v>527287.41385963722</v>
      </c>
      <c r="M9" s="115">
        <v>553324.2758596593</v>
      </c>
      <c r="N9" s="115">
        <v>867801.56000374421</v>
      </c>
      <c r="O9" s="115">
        <v>1016346.6587262052</v>
      </c>
      <c r="P9" s="115">
        <v>1555432.1274788978</v>
      </c>
      <c r="Q9" s="115">
        <v>2699124.0751504162</v>
      </c>
    </row>
    <row r="10" spans="1:17" s="117" customFormat="1" ht="10.199999999999999">
      <c r="A10" s="109" t="s">
        <v>179</v>
      </c>
      <c r="B10" s="111">
        <v>43274.303729547079</v>
      </c>
      <c r="C10" s="111">
        <v>46316.504499437098</v>
      </c>
      <c r="D10" s="111">
        <v>51550.478304370474</v>
      </c>
      <c r="E10" s="111">
        <v>76508.047853945289</v>
      </c>
      <c r="F10" s="111">
        <v>97986.196507989283</v>
      </c>
      <c r="G10" s="111">
        <v>76471.957840951291</v>
      </c>
      <c r="H10" s="111">
        <v>123056.69752813379</v>
      </c>
      <c r="I10" s="111">
        <v>162886.95802940609</v>
      </c>
      <c r="J10" s="111">
        <v>169214.23743386404</v>
      </c>
      <c r="K10" s="111">
        <v>224310.76867995752</v>
      </c>
      <c r="L10" s="111">
        <v>327048.73711636697</v>
      </c>
      <c r="M10" s="111">
        <v>324486.4595114807</v>
      </c>
      <c r="N10" s="111">
        <v>582046.197114254</v>
      </c>
      <c r="O10" s="111">
        <v>680961.32291180722</v>
      </c>
      <c r="P10" s="111">
        <v>1093338.7146183383</v>
      </c>
      <c r="Q10" s="111">
        <v>1888791.9182650165</v>
      </c>
    </row>
    <row r="11" spans="1:17" s="109" customFormat="1" ht="10.199999999999999">
      <c r="A11" s="109" t="s">
        <v>178</v>
      </c>
      <c r="B11" s="111">
        <v>20920.136640850582</v>
      </c>
      <c r="C11" s="111">
        <v>25906.098390518589</v>
      </c>
      <c r="D11" s="111">
        <v>27037.354229068504</v>
      </c>
      <c r="E11" s="111">
        <v>32578.796904896408</v>
      </c>
      <c r="F11" s="111">
        <v>39027.478968739706</v>
      </c>
      <c r="G11" s="111">
        <v>41602.393789639456</v>
      </c>
      <c r="H11" s="111">
        <v>69067.93698347894</v>
      </c>
      <c r="I11" s="111">
        <v>85029.097942235763</v>
      </c>
      <c r="J11" s="111">
        <v>93639.110441334618</v>
      </c>
      <c r="K11" s="111">
        <v>113621.14376873773</v>
      </c>
      <c r="L11" s="111">
        <v>167978.93236191865</v>
      </c>
      <c r="M11" s="111">
        <v>191846.52403178217</v>
      </c>
      <c r="N11" s="111">
        <v>236326.10804020817</v>
      </c>
      <c r="O11" s="111">
        <v>275665.59654799418</v>
      </c>
      <c r="P11" s="111">
        <v>371107.03778659896</v>
      </c>
      <c r="Q11" s="111">
        <v>654190.13961490616</v>
      </c>
    </row>
    <row r="12" spans="1:17" s="109" customFormat="1" ht="10.199999999999999">
      <c r="A12" s="109" t="s">
        <v>177</v>
      </c>
      <c r="B12" s="111">
        <v>4096.1922777131695</v>
      </c>
      <c r="C12" s="111">
        <v>4021.4208517481525</v>
      </c>
      <c r="D12" s="111">
        <v>4373.7366018068005</v>
      </c>
      <c r="E12" s="111">
        <v>5917.5727125940248</v>
      </c>
      <c r="F12" s="111">
        <v>8083.6429065059901</v>
      </c>
      <c r="G12" s="111">
        <v>6939.9297378305009</v>
      </c>
      <c r="H12" s="111">
        <v>9493.6596131269853</v>
      </c>
      <c r="I12" s="111">
        <v>12828.478427757456</v>
      </c>
      <c r="J12" s="111">
        <v>12947.562840884615</v>
      </c>
      <c r="K12" s="111">
        <v>17334.205189177461</v>
      </c>
      <c r="L12" s="111">
        <v>25509.017063615247</v>
      </c>
      <c r="M12" s="111">
        <v>28830.4088600057</v>
      </c>
      <c r="N12" s="111">
        <v>39247.459416816724</v>
      </c>
      <c r="O12" s="111">
        <v>47997.411166340782</v>
      </c>
      <c r="P12" s="111">
        <v>75990.673778004231</v>
      </c>
      <c r="Q12" s="111">
        <v>132798.01648933903</v>
      </c>
    </row>
    <row r="13" spans="1:17" s="109" customFormat="1" ht="10.199999999999999">
      <c r="A13" s="109" t="s">
        <v>176</v>
      </c>
      <c r="B13" s="111">
        <v>92.147395477900304</v>
      </c>
      <c r="C13" s="111">
        <v>92.57692394906681</v>
      </c>
      <c r="D13" s="111">
        <v>98.76546519943021</v>
      </c>
      <c r="E13" s="111">
        <v>78.089736908153114</v>
      </c>
      <c r="F13" s="111">
        <v>108.03633267587114</v>
      </c>
      <c r="G13" s="111">
        <v>87.811061499965419</v>
      </c>
      <c r="H13" s="111">
        <v>104.92720380844645</v>
      </c>
      <c r="I13" s="111">
        <v>125.10715986467237</v>
      </c>
      <c r="J13" s="111">
        <v>91.640667396892837</v>
      </c>
      <c r="K13" s="111">
        <v>92.498472534376575</v>
      </c>
      <c r="L13" s="111">
        <v>93.429089240624236</v>
      </c>
      <c r="M13" s="111">
        <v>98.625428277511304</v>
      </c>
      <c r="N13" s="111">
        <v>119.54208948871052</v>
      </c>
      <c r="O13" s="111">
        <v>118.42861092636689</v>
      </c>
      <c r="P13" s="111">
        <v>194.77537293767611</v>
      </c>
      <c r="Q13" s="111">
        <v>296.75273506898253</v>
      </c>
    </row>
    <row r="14" spans="1:17" s="109" customFormat="1" ht="10.199999999999999">
      <c r="A14" s="109" t="s">
        <v>175</v>
      </c>
      <c r="B14" s="111">
        <v>2121.3664534324162</v>
      </c>
      <c r="C14" s="111">
        <v>2256.13191249793</v>
      </c>
      <c r="D14" s="111">
        <v>2521.3008861717617</v>
      </c>
      <c r="E14" s="111">
        <v>2738.4290542651534</v>
      </c>
      <c r="F14" s="111">
        <v>3010.2485513113834</v>
      </c>
      <c r="G14" s="111">
        <v>3168.955205026029</v>
      </c>
      <c r="H14" s="111">
        <v>3223.2836571552361</v>
      </c>
      <c r="I14" s="111">
        <v>3334.5987022099907</v>
      </c>
      <c r="J14" s="111">
        <v>3555.1341702646419</v>
      </c>
      <c r="K14" s="111">
        <v>3801.5772965859228</v>
      </c>
      <c r="L14" s="111">
        <v>4073.9378545691102</v>
      </c>
      <c r="M14" s="111">
        <v>4490.1534641722546</v>
      </c>
      <c r="N14" s="111">
        <v>5133.8346186646986</v>
      </c>
      <c r="O14" s="111">
        <v>5623.4557175113341</v>
      </c>
      <c r="P14" s="111">
        <v>7322.6309243327451</v>
      </c>
      <c r="Q14" s="111">
        <v>12868.940012958134</v>
      </c>
    </row>
    <row r="15" spans="1:17" s="109" customFormat="1" ht="10.199999999999999">
      <c r="A15" s="109" t="s">
        <v>174</v>
      </c>
      <c r="B15" s="111">
        <v>1344.780786819905</v>
      </c>
      <c r="C15" s="111">
        <v>1310.3369361805621</v>
      </c>
      <c r="D15" s="111">
        <v>1645.1389121640889</v>
      </c>
      <c r="E15" s="111">
        <v>1927.9066675963597</v>
      </c>
      <c r="F15" s="111">
        <v>1976.9866762417257</v>
      </c>
      <c r="G15" s="111">
        <v>2023.593629984882</v>
      </c>
      <c r="H15" s="111">
        <v>2125.3369729090359</v>
      </c>
      <c r="I15" s="111">
        <v>2231.6038215544877</v>
      </c>
      <c r="J15" s="111">
        <v>2343.1840126322122</v>
      </c>
      <c r="K15" s="111">
        <v>2460.3432132638231</v>
      </c>
      <c r="L15" s="111">
        <v>2583.3603739270138</v>
      </c>
      <c r="M15" s="111">
        <v>3572.1045639410554</v>
      </c>
      <c r="N15" s="111">
        <v>4928.4187243119677</v>
      </c>
      <c r="O15" s="111">
        <v>5980.4437716253042</v>
      </c>
      <c r="P15" s="111">
        <v>7478.2949986857247</v>
      </c>
      <c r="Q15" s="111">
        <v>10178.308033127883</v>
      </c>
    </row>
    <row r="16" spans="1:17" s="109" customFormat="1" ht="12">
      <c r="A16" s="116" t="s">
        <v>173</v>
      </c>
      <c r="B16" s="115">
        <v>2235.2190190616416</v>
      </c>
      <c r="C16" s="115">
        <v>2560.7252140988353</v>
      </c>
      <c r="D16" s="115">
        <v>3909.4537846976255</v>
      </c>
      <c r="E16" s="115">
        <v>3599.9409159290508</v>
      </c>
      <c r="F16" s="115">
        <v>4645.0969405035739</v>
      </c>
      <c r="G16" s="115">
        <v>4492.7648910357339</v>
      </c>
      <c r="H16" s="115">
        <v>5530.5187895010813</v>
      </c>
      <c r="I16" s="115">
        <v>5547.4745015351436</v>
      </c>
      <c r="J16" s="115">
        <v>6357.8931604273139</v>
      </c>
      <c r="K16" s="115">
        <v>11701.287567986448</v>
      </c>
      <c r="L16" s="115">
        <v>16369.455924940999</v>
      </c>
      <c r="M16" s="115">
        <v>20859.719398173806</v>
      </c>
      <c r="N16" s="115">
        <v>33096.719185166119</v>
      </c>
      <c r="O16" s="115">
        <v>41020.2035272145</v>
      </c>
      <c r="P16" s="115">
        <v>81888.147060678297</v>
      </c>
      <c r="Q16" s="115">
        <v>113776.56470513156</v>
      </c>
    </row>
    <row r="17" spans="1:17" s="109" customFormat="1" ht="12">
      <c r="A17" s="116" t="s">
        <v>172</v>
      </c>
      <c r="B17" s="115">
        <v>39163.80997017576</v>
      </c>
      <c r="C17" s="115">
        <v>45963.513212215745</v>
      </c>
      <c r="D17" s="115">
        <v>64814.853660885899</v>
      </c>
      <c r="E17" s="115">
        <v>68136.757786945134</v>
      </c>
      <c r="F17" s="115">
        <v>76767.061201449091</v>
      </c>
      <c r="G17" s="115">
        <v>84908.516117284802</v>
      </c>
      <c r="H17" s="115">
        <v>107176.84714604127</v>
      </c>
      <c r="I17" s="115">
        <v>129575.60288849303</v>
      </c>
      <c r="J17" s="115">
        <v>154038.12310556247</v>
      </c>
      <c r="K17" s="115">
        <v>183519.74332918864</v>
      </c>
      <c r="L17" s="115">
        <v>278985.4482404493</v>
      </c>
      <c r="M17" s="115">
        <v>309734.74009779783</v>
      </c>
      <c r="N17" s="115">
        <v>432535.11246207519</v>
      </c>
      <c r="O17" s="115">
        <v>507783.97711829795</v>
      </c>
      <c r="P17" s="115">
        <v>911676.36902104691</v>
      </c>
      <c r="Q17" s="115">
        <v>1384639.7038239646</v>
      </c>
    </row>
    <row r="18" spans="1:17" s="109" customFormat="1" ht="10.199999999999999">
      <c r="A18" s="109" t="s">
        <v>171</v>
      </c>
      <c r="B18" s="111">
        <v>34700.885068475254</v>
      </c>
      <c r="C18" s="111">
        <v>39435.603732769428</v>
      </c>
      <c r="D18" s="111">
        <v>53832.103453500902</v>
      </c>
      <c r="E18" s="111">
        <v>56155.497690328222</v>
      </c>
      <c r="F18" s="111">
        <v>64210.197612939206</v>
      </c>
      <c r="G18" s="111">
        <v>69059.798274237139</v>
      </c>
      <c r="H18" s="111">
        <v>82616.232138579129</v>
      </c>
      <c r="I18" s="111">
        <v>98731.95194679829</v>
      </c>
      <c r="J18" s="111">
        <v>119348.92053009581</v>
      </c>
      <c r="K18" s="111">
        <v>148325.90336800748</v>
      </c>
      <c r="L18" s="111">
        <v>229226.20775410262</v>
      </c>
      <c r="M18" s="111">
        <v>251831.60252344699</v>
      </c>
      <c r="N18" s="111">
        <v>354686.9063898084</v>
      </c>
      <c r="O18" s="111">
        <v>407149.29989827564</v>
      </c>
      <c r="P18" s="111">
        <v>769383.73388601618</v>
      </c>
      <c r="Q18" s="111">
        <v>1134780.7297903767</v>
      </c>
    </row>
    <row r="19" spans="1:17" s="109" customFormat="1" ht="10.199999999999999">
      <c r="A19" s="109" t="s">
        <v>170</v>
      </c>
      <c r="B19" s="111">
        <v>4462.9249017004995</v>
      </c>
      <c r="C19" s="111">
        <v>6527.9094794463144</v>
      </c>
      <c r="D19" s="111">
        <v>10982.750207384999</v>
      </c>
      <c r="E19" s="111">
        <v>11981.26009661691</v>
      </c>
      <c r="F19" s="111">
        <v>12556.86358850989</v>
      </c>
      <c r="G19" s="111">
        <v>15848.717843047667</v>
      </c>
      <c r="H19" s="111">
        <v>24560.615007462155</v>
      </c>
      <c r="I19" s="111">
        <v>30843.650941694734</v>
      </c>
      <c r="J19" s="111">
        <v>34689.202575466654</v>
      </c>
      <c r="K19" s="111">
        <v>35193.839961181176</v>
      </c>
      <c r="L19" s="111">
        <v>49759.24048634668</v>
      </c>
      <c r="M19" s="111">
        <v>57903.137574350876</v>
      </c>
      <c r="N19" s="111">
        <v>77848.206072266767</v>
      </c>
      <c r="O19" s="111">
        <v>100634.67722002236</v>
      </c>
      <c r="P19" s="111">
        <v>142292.63513503075</v>
      </c>
      <c r="Q19" s="111">
        <v>249858.97403358796</v>
      </c>
    </row>
    <row r="20" spans="1:17" s="109" customFormat="1" ht="12">
      <c r="A20" s="116" t="s">
        <v>169</v>
      </c>
      <c r="B20" s="115">
        <v>288271.73575898149</v>
      </c>
      <c r="C20" s="115">
        <v>332043.14656211925</v>
      </c>
      <c r="D20" s="115">
        <v>395647.86147075525</v>
      </c>
      <c r="E20" s="115">
        <v>475383.386151777</v>
      </c>
      <c r="F20" s="115">
        <v>592400.00916797563</v>
      </c>
      <c r="G20" s="115">
        <v>610100.23018458346</v>
      </c>
      <c r="H20" s="115">
        <v>830075.13158788509</v>
      </c>
      <c r="I20" s="115">
        <v>1094095.4866971781</v>
      </c>
      <c r="J20" s="115">
        <v>1279238.5766764136</v>
      </c>
      <c r="K20" s="115">
        <v>1602555.5809783957</v>
      </c>
      <c r="L20" s="115">
        <v>2178265.3387549906</v>
      </c>
      <c r="M20" s="115">
        <v>2686795.9372540708</v>
      </c>
      <c r="N20" s="115">
        <v>3636744.7581413346</v>
      </c>
      <c r="O20" s="115">
        <v>4458415.9417685224</v>
      </c>
      <c r="P20" s="115">
        <v>6203219.3463707436</v>
      </c>
      <c r="Q20" s="115">
        <v>9328708.5126339123</v>
      </c>
    </row>
    <row r="21" spans="1:17" s="109" customFormat="1" ht="10.199999999999999">
      <c r="A21" s="109" t="s">
        <v>168</v>
      </c>
      <c r="B21" s="111">
        <v>89283.308032039044</v>
      </c>
      <c r="C21" s="111">
        <v>100696.91238491728</v>
      </c>
      <c r="D21" s="111">
        <v>116361.88116599497</v>
      </c>
      <c r="E21" s="111">
        <v>144448.40369136367</v>
      </c>
      <c r="F21" s="111">
        <v>188416.4258031268</v>
      </c>
      <c r="G21" s="111">
        <v>209491.49622262092</v>
      </c>
      <c r="H21" s="111">
        <v>270233.52519050322</v>
      </c>
      <c r="I21" s="111">
        <v>356131.76209048316</v>
      </c>
      <c r="J21" s="111">
        <v>422294.03370015119</v>
      </c>
      <c r="K21" s="111">
        <v>525393.52925432625</v>
      </c>
      <c r="L21" s="111">
        <v>740904.82014721923</v>
      </c>
      <c r="M21" s="111">
        <v>916598.37666510406</v>
      </c>
      <c r="N21" s="111">
        <v>1301123.6343561211</v>
      </c>
      <c r="O21" s="111">
        <v>1581033.9163681578</v>
      </c>
      <c r="P21" s="111">
        <v>2192102.6713410192</v>
      </c>
      <c r="Q21" s="111">
        <v>3462769.1836533309</v>
      </c>
    </row>
    <row r="22" spans="1:17" s="109" customFormat="1" ht="10.199999999999999">
      <c r="A22" s="109" t="s">
        <v>167</v>
      </c>
      <c r="B22" s="111">
        <v>2043.5254838625267</v>
      </c>
      <c r="C22" s="111">
        <v>2293.1948829830985</v>
      </c>
      <c r="D22" s="111">
        <v>2498.8780173533924</v>
      </c>
      <c r="E22" s="111">
        <v>2624.0915417334259</v>
      </c>
      <c r="F22" s="111">
        <v>3545.3099923936852</v>
      </c>
      <c r="G22" s="111">
        <v>4211.5616757271955</v>
      </c>
      <c r="H22" s="111">
        <v>5436.0917330001221</v>
      </c>
      <c r="I22" s="111">
        <v>6831.9825495863479</v>
      </c>
      <c r="J22" s="111">
        <v>8099.292779786465</v>
      </c>
      <c r="K22" s="111">
        <v>9410.4200002634007</v>
      </c>
      <c r="L22" s="111">
        <v>14330.166708794954</v>
      </c>
      <c r="M22" s="111">
        <v>19947.369694539702</v>
      </c>
      <c r="N22" s="111">
        <v>25243.677249373817</v>
      </c>
      <c r="O22" s="111">
        <v>30273.582294815642</v>
      </c>
      <c r="P22" s="111">
        <v>40971.804693017177</v>
      </c>
      <c r="Q22" s="111">
        <v>60146.126982572321</v>
      </c>
    </row>
    <row r="23" spans="1:17" s="109" customFormat="1" ht="10.199999999999999">
      <c r="A23" s="109" t="s">
        <v>166</v>
      </c>
      <c r="B23" s="111">
        <v>7776.7743508158164</v>
      </c>
      <c r="C23" s="111">
        <v>8448.8384455594569</v>
      </c>
      <c r="D23" s="111">
        <v>9440.5183536556378</v>
      </c>
      <c r="E23" s="111">
        <v>11248.726853718699</v>
      </c>
      <c r="F23" s="111">
        <v>11786.679780432336</v>
      </c>
      <c r="G23" s="111">
        <v>11673.545244471599</v>
      </c>
      <c r="H23" s="111">
        <v>16976.988301118392</v>
      </c>
      <c r="I23" s="111">
        <v>23123.90520860273</v>
      </c>
      <c r="J23" s="111">
        <v>24835.211270842541</v>
      </c>
      <c r="K23" s="111">
        <v>30098.147943805321</v>
      </c>
      <c r="L23" s="111">
        <v>45479.598829666109</v>
      </c>
      <c r="M23" s="111">
        <v>56154.200332152875</v>
      </c>
      <c r="N23" s="111">
        <v>68946.920320245699</v>
      </c>
      <c r="O23" s="111">
        <v>77755.963428676929</v>
      </c>
      <c r="P23" s="111">
        <v>101750.54965402337</v>
      </c>
      <c r="Q23" s="111">
        <v>163579.60633727408</v>
      </c>
    </row>
    <row r="24" spans="1:17" s="109" customFormat="1" ht="10.199999999999999">
      <c r="A24" s="109" t="s">
        <v>165</v>
      </c>
      <c r="B24" s="111">
        <v>7327.7226887437628</v>
      </c>
      <c r="C24" s="111">
        <v>9688.2974115963698</v>
      </c>
      <c r="D24" s="111">
        <v>10851.706696198995</v>
      </c>
      <c r="E24" s="111">
        <v>12610.329366820524</v>
      </c>
      <c r="F24" s="111">
        <v>15378.579554339272</v>
      </c>
      <c r="G24" s="111">
        <v>16633.803446982212</v>
      </c>
      <c r="H24" s="111">
        <v>21807.444849811196</v>
      </c>
      <c r="I24" s="111">
        <v>30860.053079777877</v>
      </c>
      <c r="J24" s="111">
        <v>35203.232254627328</v>
      </c>
      <c r="K24" s="111">
        <v>45636.731979799493</v>
      </c>
      <c r="L24" s="111">
        <v>56435.772348293096</v>
      </c>
      <c r="M24" s="111">
        <v>77197.687436273103</v>
      </c>
      <c r="N24" s="111">
        <v>92535.795111989326</v>
      </c>
      <c r="O24" s="111">
        <v>98782.796735057593</v>
      </c>
      <c r="P24" s="111">
        <v>108208.75639050985</v>
      </c>
      <c r="Q24" s="111">
        <v>147752.61865886574</v>
      </c>
    </row>
    <row r="25" spans="1:17" s="109" customFormat="1" ht="10.199999999999999">
      <c r="A25" s="109" t="s">
        <v>164</v>
      </c>
      <c r="B25" s="111">
        <v>6812.8304294283198</v>
      </c>
      <c r="C25" s="111">
        <v>6706.4964126151408</v>
      </c>
      <c r="D25" s="111">
        <v>7870.8084399535455</v>
      </c>
      <c r="E25" s="111">
        <v>9408.1186386113841</v>
      </c>
      <c r="F25" s="111">
        <v>9301.9251257366086</v>
      </c>
      <c r="G25" s="111">
        <v>9532.6639064884639</v>
      </c>
      <c r="H25" s="111">
        <v>14309.173414178613</v>
      </c>
      <c r="I25" s="111">
        <v>17440.839525990705</v>
      </c>
      <c r="J25" s="111">
        <v>18996.631162849542</v>
      </c>
      <c r="K25" s="111">
        <v>23676.767893782064</v>
      </c>
      <c r="L25" s="111">
        <v>32807.324699948091</v>
      </c>
      <c r="M25" s="111">
        <v>38718.506041427449</v>
      </c>
      <c r="N25" s="111">
        <v>50113.033032893291</v>
      </c>
      <c r="O25" s="111">
        <v>52409.403801904511</v>
      </c>
      <c r="P25" s="111">
        <v>62483.379073597876</v>
      </c>
      <c r="Q25" s="111">
        <v>78468.677380815207</v>
      </c>
    </row>
    <row r="26" spans="1:17" s="109" customFormat="1" ht="10.199999999999999">
      <c r="A26" s="109" t="s">
        <v>163</v>
      </c>
      <c r="B26" s="111">
        <v>4600.7528212839807</v>
      </c>
      <c r="C26" s="111">
        <v>4969.6356092734786</v>
      </c>
      <c r="D26" s="111">
        <v>6118.2390248989987</v>
      </c>
      <c r="E26" s="111">
        <v>7128.7523364935778</v>
      </c>
      <c r="F26" s="111">
        <v>8312.5416643602566</v>
      </c>
      <c r="G26" s="111">
        <v>7730.4718778200859</v>
      </c>
      <c r="H26" s="111">
        <v>9925.2474494941998</v>
      </c>
      <c r="I26" s="111">
        <v>12919.894563846778</v>
      </c>
      <c r="J26" s="111">
        <v>14284.495081658109</v>
      </c>
      <c r="K26" s="111">
        <v>18140.764899512949</v>
      </c>
      <c r="L26" s="111">
        <v>22320.487388993439</v>
      </c>
      <c r="M26" s="111">
        <v>28817.684079833107</v>
      </c>
      <c r="N26" s="111">
        <v>36000.39052470959</v>
      </c>
      <c r="O26" s="111">
        <v>45069.370054223742</v>
      </c>
      <c r="P26" s="111">
        <v>58688.848983565513</v>
      </c>
      <c r="Q26" s="111">
        <v>86438.840520556769</v>
      </c>
    </row>
    <row r="27" spans="1:17" s="109" customFormat="1" ht="10.199999999999999">
      <c r="A27" s="109" t="s">
        <v>162</v>
      </c>
      <c r="B27" s="111">
        <v>8357.7682970231326</v>
      </c>
      <c r="C27" s="111">
        <v>9570.8876009850264</v>
      </c>
      <c r="D27" s="111">
        <v>11104.834414071001</v>
      </c>
      <c r="E27" s="111">
        <v>13481.927589573646</v>
      </c>
      <c r="F27" s="111">
        <v>15885.409419904552</v>
      </c>
      <c r="G27" s="111">
        <v>16947.358254322582</v>
      </c>
      <c r="H27" s="111">
        <v>21522.485803242154</v>
      </c>
      <c r="I27" s="111">
        <v>26774.292322782021</v>
      </c>
      <c r="J27" s="111">
        <v>30956.226902828403</v>
      </c>
      <c r="K27" s="111">
        <v>38882.084258284034</v>
      </c>
      <c r="L27" s="111">
        <v>54431.810175644612</v>
      </c>
      <c r="M27" s="111">
        <v>71495.605767183748</v>
      </c>
      <c r="N27" s="111">
        <v>97471.333100862015</v>
      </c>
      <c r="O27" s="111">
        <v>116124.61316206316</v>
      </c>
      <c r="P27" s="111">
        <v>160564.93947353438</v>
      </c>
      <c r="Q27" s="111">
        <v>260246.57267975574</v>
      </c>
    </row>
    <row r="28" spans="1:17" s="109" customFormat="1" ht="10.199999999999999">
      <c r="A28" s="109" t="s">
        <v>161</v>
      </c>
      <c r="B28" s="111">
        <v>7188.1483118647811</v>
      </c>
      <c r="C28" s="111">
        <v>8397.1276473821636</v>
      </c>
      <c r="D28" s="111">
        <v>10431.892682026526</v>
      </c>
      <c r="E28" s="111">
        <v>13082.116616331976</v>
      </c>
      <c r="F28" s="111">
        <v>15980.427438981871</v>
      </c>
      <c r="G28" s="111">
        <v>17173.630257605597</v>
      </c>
      <c r="H28" s="111">
        <v>21475.500005349615</v>
      </c>
      <c r="I28" s="111">
        <v>29541.394832335656</v>
      </c>
      <c r="J28" s="111">
        <v>32829.605304964454</v>
      </c>
      <c r="K28" s="111">
        <v>42489.959226522289</v>
      </c>
      <c r="L28" s="111">
        <v>50575.859805194894</v>
      </c>
      <c r="M28" s="111">
        <v>62751.247517130934</v>
      </c>
      <c r="N28" s="111">
        <v>84476.845600720859</v>
      </c>
      <c r="O28" s="111">
        <v>111877.26840154215</v>
      </c>
      <c r="P28" s="111">
        <v>138809.77876616819</v>
      </c>
      <c r="Q28" s="111">
        <v>204669.84900687373</v>
      </c>
    </row>
    <row r="29" spans="1:17" s="109" customFormat="1" ht="10.199999999999999">
      <c r="A29" s="109" t="s">
        <v>160</v>
      </c>
      <c r="B29" s="111">
        <v>23724.704092864111</v>
      </c>
      <c r="C29" s="111">
        <v>24273.706550282797</v>
      </c>
      <c r="D29" s="111">
        <v>25806.56044710779</v>
      </c>
      <c r="E29" s="111">
        <v>28408.697345729666</v>
      </c>
      <c r="F29" s="111">
        <v>35503.478734341814</v>
      </c>
      <c r="G29" s="111">
        <v>39812.819818177762</v>
      </c>
      <c r="H29" s="111">
        <v>54012.87853977667</v>
      </c>
      <c r="I29" s="111">
        <v>69717.517153026783</v>
      </c>
      <c r="J29" s="111">
        <v>90985.885363287933</v>
      </c>
      <c r="K29" s="111">
        <v>112284.44829875937</v>
      </c>
      <c r="L29" s="111">
        <v>171115.29739422951</v>
      </c>
      <c r="M29" s="111">
        <v>190317.19255103992</v>
      </c>
      <c r="N29" s="111">
        <v>259353.53396480417</v>
      </c>
      <c r="O29" s="111">
        <v>317248.23228573159</v>
      </c>
      <c r="P29" s="111">
        <v>494936.72368179203</v>
      </c>
      <c r="Q29" s="111">
        <v>772960.02229872253</v>
      </c>
    </row>
    <row r="30" spans="1:17" s="109" customFormat="1" ht="10.199999999999999">
      <c r="A30" s="109" t="s">
        <v>159</v>
      </c>
      <c r="B30" s="111">
        <v>35591.351752697352</v>
      </c>
      <c r="C30" s="111">
        <v>40255.186849016209</v>
      </c>
      <c r="D30" s="111">
        <v>46920.46098621111</v>
      </c>
      <c r="E30" s="111">
        <v>52482.938955412923</v>
      </c>
      <c r="F30" s="111">
        <v>66018.586177492049</v>
      </c>
      <c r="G30" s="111">
        <v>71567.695167023732</v>
      </c>
      <c r="H30" s="111">
        <v>91677.481019725616</v>
      </c>
      <c r="I30" s="111">
        <v>114243.19611774567</v>
      </c>
      <c r="J30" s="111">
        <v>137695.21697846692</v>
      </c>
      <c r="K30" s="111">
        <v>174004.17684141832</v>
      </c>
      <c r="L30" s="111">
        <v>241220.68475469004</v>
      </c>
      <c r="M30" s="111">
        <v>292448.60026692325</v>
      </c>
      <c r="N30" s="111">
        <v>431713.93044597085</v>
      </c>
      <c r="O30" s="111">
        <v>528055.17256318557</v>
      </c>
      <c r="P30" s="111">
        <v>760378.1437851449</v>
      </c>
      <c r="Q30" s="111">
        <v>1157496.4260176558</v>
      </c>
    </row>
    <row r="31" spans="1:17" s="109" customFormat="1" ht="10.199999999999999">
      <c r="A31" s="109" t="s">
        <v>158</v>
      </c>
      <c r="B31" s="111">
        <v>12591.932704507248</v>
      </c>
      <c r="C31" s="111">
        <v>14107.262774529067</v>
      </c>
      <c r="D31" s="111">
        <v>15971.751557427813</v>
      </c>
      <c r="E31" s="111">
        <v>19343.604638195698</v>
      </c>
      <c r="F31" s="111">
        <v>21807.703556206885</v>
      </c>
      <c r="G31" s="111">
        <v>24387.638645921841</v>
      </c>
      <c r="H31" s="111">
        <v>35393.757094513443</v>
      </c>
      <c r="I31" s="111">
        <v>46182.63461113222</v>
      </c>
      <c r="J31" s="111">
        <v>56254.164598469572</v>
      </c>
      <c r="K31" s="111">
        <v>70488.004495577959</v>
      </c>
      <c r="L31" s="111">
        <v>93506.446162391061</v>
      </c>
      <c r="M31" s="111">
        <v>126110.84527427069</v>
      </c>
      <c r="N31" s="111">
        <v>154290.49150474547</v>
      </c>
      <c r="O31" s="111">
        <v>180978.96749062443</v>
      </c>
      <c r="P31" s="111">
        <v>239096.6273354305</v>
      </c>
      <c r="Q31" s="111">
        <v>376616.87469533464</v>
      </c>
    </row>
    <row r="32" spans="1:17" s="109" customFormat="1" ht="10.199999999999999">
      <c r="A32" s="109" t="s">
        <v>157</v>
      </c>
      <c r="B32" s="111">
        <v>7162.9066004356255</v>
      </c>
      <c r="C32" s="111">
        <v>9054.3250094956056</v>
      </c>
      <c r="D32" s="111">
        <v>11978.278624494349</v>
      </c>
      <c r="E32" s="111">
        <v>14566.98748925266</v>
      </c>
      <c r="F32" s="111">
        <v>17518.798678650026</v>
      </c>
      <c r="G32" s="111">
        <v>17669.347155876025</v>
      </c>
      <c r="H32" s="111">
        <v>23543.42236897054</v>
      </c>
      <c r="I32" s="111">
        <v>30440.032664372371</v>
      </c>
      <c r="J32" s="111">
        <v>34803.949911815238</v>
      </c>
      <c r="K32" s="111">
        <v>46086.234931873885</v>
      </c>
      <c r="L32" s="111">
        <v>61536.957177475408</v>
      </c>
      <c r="M32" s="111">
        <v>80460.898743916638</v>
      </c>
      <c r="N32" s="111">
        <v>100290.31910620986</v>
      </c>
      <c r="O32" s="111">
        <v>133450.07806419305</v>
      </c>
      <c r="P32" s="111">
        <v>190194.45250402135</v>
      </c>
      <c r="Q32" s="111">
        <v>290121.32069916843</v>
      </c>
    </row>
    <row r="33" spans="1:17" s="109" customFormat="1" ht="10.199999999999999">
      <c r="A33" s="109" t="s">
        <v>156</v>
      </c>
      <c r="B33" s="111">
        <v>20660.124622450949</v>
      </c>
      <c r="C33" s="111">
        <v>24682.722468609791</v>
      </c>
      <c r="D33" s="111">
        <v>29903.453575004976</v>
      </c>
      <c r="E33" s="111">
        <v>32365.13868022395</v>
      </c>
      <c r="F33" s="111">
        <v>43244.351852099338</v>
      </c>
      <c r="G33" s="111">
        <v>34019.092919217321</v>
      </c>
      <c r="H33" s="111">
        <v>50646.474755737872</v>
      </c>
      <c r="I33" s="111">
        <v>63018.580746601088</v>
      </c>
      <c r="J33" s="111">
        <v>65733.033282641962</v>
      </c>
      <c r="K33" s="111">
        <v>81735.430511746003</v>
      </c>
      <c r="L33" s="111">
        <v>120082.47189263819</v>
      </c>
      <c r="M33" s="111">
        <v>123434.14668299085</v>
      </c>
      <c r="N33" s="111">
        <v>152160.92969657521</v>
      </c>
      <c r="O33" s="111">
        <v>210996.61681948978</v>
      </c>
      <c r="P33" s="111">
        <v>361207.98465929687</v>
      </c>
      <c r="Q33" s="111">
        <v>545009.36761739443</v>
      </c>
    </row>
    <row r="34" spans="1:17" s="109" customFormat="1" ht="10.199999999999999">
      <c r="A34" s="109" t="s">
        <v>155</v>
      </c>
      <c r="B34" s="111">
        <v>10559.621653948785</v>
      </c>
      <c r="C34" s="111">
        <v>12959.220515403647</v>
      </c>
      <c r="D34" s="111">
        <v>16089.879607627667</v>
      </c>
      <c r="E34" s="111">
        <v>20034.468967216806</v>
      </c>
      <c r="F34" s="111">
        <v>25748.553449790194</v>
      </c>
      <c r="G34" s="111">
        <v>22674.371561176355</v>
      </c>
      <c r="H34" s="111">
        <v>29751.391026316192</v>
      </c>
      <c r="I34" s="111">
        <v>38344.673727172209</v>
      </c>
      <c r="J34" s="111">
        <v>43452.549686103477</v>
      </c>
      <c r="K34" s="111">
        <v>51830.801805645213</v>
      </c>
      <c r="L34" s="111">
        <v>65750.253811011076</v>
      </c>
      <c r="M34" s="111">
        <v>83899.09030411487</v>
      </c>
      <c r="N34" s="111">
        <v>104358.67273770484</v>
      </c>
      <c r="O34" s="111">
        <v>130976.00718392369</v>
      </c>
      <c r="P34" s="111">
        <v>192824.43806587969</v>
      </c>
      <c r="Q34" s="111">
        <v>284320.01812334993</v>
      </c>
    </row>
    <row r="35" spans="1:17" s="109" customFormat="1" ht="10.199999999999999">
      <c r="A35" s="109" t="s">
        <v>154</v>
      </c>
      <c r="B35" s="111">
        <v>10803.298584889606</v>
      </c>
      <c r="C35" s="111">
        <v>13239.97828526579</v>
      </c>
      <c r="D35" s="111">
        <v>18050.140367041873</v>
      </c>
      <c r="E35" s="111">
        <v>23858.434516739548</v>
      </c>
      <c r="F35" s="111">
        <v>29884.324422475787</v>
      </c>
      <c r="G35" s="111">
        <v>26098.112510483697</v>
      </c>
      <c r="H35" s="111">
        <v>40926.587832030717</v>
      </c>
      <c r="I35" s="111">
        <v>58300.675953009202</v>
      </c>
      <c r="J35" s="111">
        <v>64334.992594357478</v>
      </c>
      <c r="K35" s="111">
        <v>82195.073287942738</v>
      </c>
      <c r="L35" s="111">
        <v>103886.15552669743</v>
      </c>
      <c r="M35" s="111">
        <v>129331.69584081405</v>
      </c>
      <c r="N35" s="111">
        <v>179727.14862979102</v>
      </c>
      <c r="O35" s="111">
        <v>242148.94649883849</v>
      </c>
      <c r="P35" s="111">
        <v>266463.91815663321</v>
      </c>
      <c r="Q35" s="111">
        <v>372878.02108822874</v>
      </c>
    </row>
    <row r="36" spans="1:17" s="109" customFormat="1" ht="10.199999999999999">
      <c r="A36" s="109" t="s">
        <v>153</v>
      </c>
      <c r="B36" s="111">
        <v>849.96595110924613</v>
      </c>
      <c r="C36" s="111">
        <v>844.47895720312499</v>
      </c>
      <c r="D36" s="111">
        <v>755.16040743154838</v>
      </c>
      <c r="E36" s="111">
        <v>971.48345650542001</v>
      </c>
      <c r="F36" s="111">
        <v>1530.6005108809641</v>
      </c>
      <c r="G36" s="111">
        <v>1771.986053760811</v>
      </c>
      <c r="H36" s="111">
        <v>1894.9238262037577</v>
      </c>
      <c r="I36" s="111">
        <v>2287.1408747877376</v>
      </c>
      <c r="J36" s="111">
        <v>2544.9395167906723</v>
      </c>
      <c r="K36" s="111">
        <v>2807.7770609557911</v>
      </c>
      <c r="L36" s="111">
        <v>4290.6309437516429</v>
      </c>
      <c r="M36" s="111">
        <v>6355.764177508694</v>
      </c>
      <c r="N36" s="111">
        <v>6251.7291295835194</v>
      </c>
      <c r="O36" s="111">
        <v>6526.8847388000586</v>
      </c>
      <c r="P36" s="111">
        <v>7649.4834954981543</v>
      </c>
      <c r="Q36" s="111">
        <v>8921.7467770749499</v>
      </c>
    </row>
    <row r="37" spans="1:17" s="109" customFormat="1" ht="10.199999999999999">
      <c r="A37" s="109" t="s">
        <v>152</v>
      </c>
      <c r="B37" s="111">
        <v>4495.2707094304806</v>
      </c>
      <c r="C37" s="111">
        <v>5492.5755457861096</v>
      </c>
      <c r="D37" s="111">
        <v>7535.8020996725181</v>
      </c>
      <c r="E37" s="111">
        <v>10033.196083872444</v>
      </c>
      <c r="F37" s="111">
        <v>11038.894418060689</v>
      </c>
      <c r="G37" s="111">
        <v>10360.111670909318</v>
      </c>
      <c r="H37" s="111">
        <v>12715.148850168922</v>
      </c>
      <c r="I37" s="111">
        <v>16577.674916231641</v>
      </c>
      <c r="J37" s="111">
        <v>17500.158779611564</v>
      </c>
      <c r="K37" s="111">
        <v>22520.869627533139</v>
      </c>
      <c r="L37" s="111">
        <v>32536.566402890043</v>
      </c>
      <c r="M37" s="111">
        <v>42562.23558715087</v>
      </c>
      <c r="N37" s="111">
        <v>51206.979858189843</v>
      </c>
      <c r="O37" s="111">
        <v>60086.684675422868</v>
      </c>
      <c r="P37" s="111">
        <v>90921.118742993</v>
      </c>
      <c r="Q37" s="111">
        <v>130791.87257503423</v>
      </c>
    </row>
    <row r="38" spans="1:17" s="109" customFormat="1" ht="10.199999999999999">
      <c r="A38" s="109" t="s">
        <v>151</v>
      </c>
      <c r="B38" s="111">
        <v>1254.5348543778564</v>
      </c>
      <c r="C38" s="111">
        <v>1748.6548005543518</v>
      </c>
      <c r="D38" s="111">
        <v>2649.7013577997946</v>
      </c>
      <c r="E38" s="111">
        <v>2794.4799069249966</v>
      </c>
      <c r="F38" s="111">
        <v>2676.6590081459212</v>
      </c>
      <c r="G38" s="111">
        <v>2169.9168137210609</v>
      </c>
      <c r="H38" s="111">
        <v>10412.691573689966</v>
      </c>
      <c r="I38" s="111">
        <v>23815.557781020514</v>
      </c>
      <c r="J38" s="111">
        <v>34576.619891720344</v>
      </c>
      <c r="K38" s="111">
        <v>39642.346996982873</v>
      </c>
      <c r="L38" s="111">
        <v>43921.614240072209</v>
      </c>
      <c r="M38" s="111">
        <v>71671.540820869181</v>
      </c>
      <c r="N38" s="111">
        <v>82339.226304367767</v>
      </c>
      <c r="O38" s="111">
        <v>102449.99824650485</v>
      </c>
      <c r="P38" s="111">
        <v>109032.9801900368</v>
      </c>
      <c r="Q38" s="111">
        <v>113769.76963494273</v>
      </c>
    </row>
    <row r="39" spans="1:17" s="109" customFormat="1" ht="10.199999999999999">
      <c r="A39" s="109" t="s">
        <v>150</v>
      </c>
      <c r="B39" s="111">
        <v>1496.682017277484</v>
      </c>
      <c r="C39" s="111">
        <v>1870.2291656453692</v>
      </c>
      <c r="D39" s="111">
        <v>2132.4038722571468</v>
      </c>
      <c r="E39" s="111">
        <v>2790.3353155699542</v>
      </c>
      <c r="F39" s="111">
        <v>3401.9699820149017</v>
      </c>
      <c r="G39" s="111">
        <v>3684.3181148117978</v>
      </c>
      <c r="H39" s="111">
        <v>4391.0661532099102</v>
      </c>
      <c r="I39" s="111">
        <v>4810.022775929996</v>
      </c>
      <c r="J39" s="111">
        <v>5997.7111599659338</v>
      </c>
      <c r="K39" s="111">
        <v>6842.6250883298435</v>
      </c>
      <c r="L39" s="111">
        <v>8592.8827299194309</v>
      </c>
      <c r="M39" s="111">
        <v>12198.472161468128</v>
      </c>
      <c r="N39" s="111">
        <v>13949.11374668144</v>
      </c>
      <c r="O39" s="111">
        <v>15980.047961764192</v>
      </c>
      <c r="P39" s="111">
        <v>22917.603765664517</v>
      </c>
      <c r="Q39" s="111">
        <v>41817.220609735799</v>
      </c>
    </row>
    <row r="40" spans="1:17" s="109" customFormat="1" ht="10.199999999999999">
      <c r="A40" s="109" t="s">
        <v>149</v>
      </c>
      <c r="B40" s="111">
        <v>17071.821491260838</v>
      </c>
      <c r="C40" s="111">
        <v>23098.390109944925</v>
      </c>
      <c r="D40" s="111">
        <v>31726.221818029688</v>
      </c>
      <c r="E40" s="111">
        <v>39789.23706981443</v>
      </c>
      <c r="F40" s="111">
        <v>48938.99742835878</v>
      </c>
      <c r="G40" s="111">
        <v>45788.683611736284</v>
      </c>
      <c r="H40" s="111">
        <v>71110.888225403731</v>
      </c>
      <c r="I40" s="111">
        <v>93827.063018230212</v>
      </c>
      <c r="J40" s="111">
        <v>104824.87015906957</v>
      </c>
      <c r="K40" s="111">
        <v>136436.37118028363</v>
      </c>
      <c r="L40" s="111">
        <v>161459.06943609024</v>
      </c>
      <c r="M40" s="111">
        <v>183857.08279585635</v>
      </c>
      <c r="N40" s="111">
        <v>257436.6280721584</v>
      </c>
      <c r="O40" s="111">
        <v>306805.3466591168</v>
      </c>
      <c r="P40" s="111">
        <v>473671.50817310862</v>
      </c>
      <c r="Q40" s="111">
        <v>592150.53077287914</v>
      </c>
    </row>
    <row r="41" spans="1:17" s="109" customFormat="1" ht="10.199999999999999">
      <c r="A41" s="109" t="s">
        <v>148</v>
      </c>
      <c r="B41" s="111">
        <v>1078.3073445279372</v>
      </c>
      <c r="C41" s="111">
        <v>1421.7500976729204</v>
      </c>
      <c r="D41" s="111">
        <v>1447.8738773059022</v>
      </c>
      <c r="E41" s="111">
        <v>1650.6092672103689</v>
      </c>
      <c r="F41" s="111">
        <v>1920.5660444036055</v>
      </c>
      <c r="G41" s="111">
        <v>1828.3129437098648</v>
      </c>
      <c r="H41" s="111">
        <v>2752.3538882085254</v>
      </c>
      <c r="I41" s="111">
        <v>3232.4346547371961</v>
      </c>
      <c r="J41" s="111">
        <v>2997.7608992599871</v>
      </c>
      <c r="K41" s="111">
        <v>4714.6898053985306</v>
      </c>
      <c r="L41" s="111">
        <v>4414.8467446234863</v>
      </c>
      <c r="M41" s="111">
        <v>6515.2780058815579</v>
      </c>
      <c r="N41" s="111">
        <v>8216.8378544912939</v>
      </c>
      <c r="O41" s="111">
        <v>11883.305763977589</v>
      </c>
      <c r="P41" s="111">
        <v>12488.980994201733</v>
      </c>
      <c r="Q41" s="111">
        <v>13923.203817761776</v>
      </c>
    </row>
    <row r="42" spans="1:17" s="109" customFormat="1" ht="10.199999999999999">
      <c r="A42" s="109" t="s">
        <v>147</v>
      </c>
      <c r="B42" s="111">
        <v>5792.8227626324997</v>
      </c>
      <c r="C42" s="111">
        <v>6256.6640464952052</v>
      </c>
      <c r="D42" s="111">
        <v>7613.8517073345001</v>
      </c>
      <c r="E42" s="111">
        <v>9302.2513202663849</v>
      </c>
      <c r="F42" s="111">
        <v>10880.013828005358</v>
      </c>
      <c r="G42" s="111">
        <v>11312.337473055288</v>
      </c>
      <c r="H42" s="111">
        <v>14149.677087172575</v>
      </c>
      <c r="I42" s="111">
        <v>18681.76082015736</v>
      </c>
      <c r="J42" s="111">
        <v>22164.20630106825</v>
      </c>
      <c r="K42" s="111">
        <v>27285.876669865207</v>
      </c>
      <c r="L42" s="111">
        <v>35697.12692360815</v>
      </c>
      <c r="M42" s="111">
        <v>49570.521582091889</v>
      </c>
      <c r="N42" s="111">
        <v>58358.513506991447</v>
      </c>
      <c r="O42" s="111">
        <v>72398.987707408785</v>
      </c>
      <c r="P42" s="111">
        <v>82703.351860079871</v>
      </c>
      <c r="Q42" s="111">
        <v>111165.75714269925</v>
      </c>
    </row>
    <row r="43" spans="1:17" s="109" customFormat="1" ht="10.199999999999999">
      <c r="A43" s="109" t="s">
        <v>146</v>
      </c>
      <c r="B43" s="111">
        <v>404.60553472906679</v>
      </c>
      <c r="C43" s="111">
        <v>488.37455205765247</v>
      </c>
      <c r="D43" s="111">
        <v>600.66917166411861</v>
      </c>
      <c r="E43" s="111">
        <v>731.05941849848602</v>
      </c>
      <c r="F43" s="111">
        <v>910.82772451555365</v>
      </c>
      <c r="G43" s="111">
        <v>946.10178843093638</v>
      </c>
      <c r="H43" s="111">
        <v>1298.002291850074</v>
      </c>
      <c r="I43" s="111">
        <v>1727.3512353028343</v>
      </c>
      <c r="J43" s="111">
        <v>2042.094979406173</v>
      </c>
      <c r="K43" s="111">
        <v>2590.7463446910788</v>
      </c>
      <c r="L43" s="111">
        <v>3488.5953546000169</v>
      </c>
      <c r="M43" s="111">
        <v>4467.1429758793465</v>
      </c>
      <c r="N43" s="111">
        <v>5729.2586858584846</v>
      </c>
      <c r="O43" s="111">
        <v>6983.8767841277759</v>
      </c>
      <c r="P43" s="111">
        <v>10861.903577032233</v>
      </c>
      <c r="Q43" s="111">
        <v>16402.414738189356</v>
      </c>
    </row>
    <row r="44" spans="1:17" s="109" customFormat="1" ht="10.199999999999999">
      <c r="A44" s="109" t="s">
        <v>145</v>
      </c>
      <c r="B44" s="111">
        <v>1342.9546667810871</v>
      </c>
      <c r="C44" s="111">
        <v>1478.2364388446213</v>
      </c>
      <c r="D44" s="111">
        <v>1786.8932001913577</v>
      </c>
      <c r="E44" s="111">
        <v>2227.9970856964419</v>
      </c>
      <c r="F44" s="111">
        <v>2768.3845732583372</v>
      </c>
      <c r="G44" s="111">
        <v>2614.8530505326444</v>
      </c>
      <c r="H44" s="111">
        <v>3711.9303082090105</v>
      </c>
      <c r="I44" s="111">
        <v>5265.0454743159471</v>
      </c>
      <c r="J44" s="111">
        <v>5831.6941166705556</v>
      </c>
      <c r="K44" s="111">
        <v>7361.7025750963012</v>
      </c>
      <c r="L44" s="111">
        <v>9479.8991565486194</v>
      </c>
      <c r="M44" s="111">
        <v>11914.751949649222</v>
      </c>
      <c r="N44" s="111">
        <v>15449.815600295789</v>
      </c>
      <c r="O44" s="111">
        <v>18119.874078970231</v>
      </c>
      <c r="P44" s="111">
        <v>24289.399008495384</v>
      </c>
      <c r="Q44" s="111">
        <v>36292.47080569392</v>
      </c>
    </row>
    <row r="45" spans="1:17" s="109" customFormat="1" ht="12">
      <c r="A45" s="116" t="s">
        <v>144</v>
      </c>
      <c r="B45" s="115">
        <v>20890.231000000003</v>
      </c>
      <c r="C45" s="115">
        <v>24031.543327105108</v>
      </c>
      <c r="D45" s="115">
        <v>28173.710664944982</v>
      </c>
      <c r="E45" s="115">
        <v>35959.350881965598</v>
      </c>
      <c r="F45" s="115">
        <v>42723.496652307636</v>
      </c>
      <c r="G45" s="115">
        <v>47239.695128825071</v>
      </c>
      <c r="H45" s="115">
        <v>58902.376018681454</v>
      </c>
      <c r="I45" s="115">
        <v>69994.004594546801</v>
      </c>
      <c r="J45" s="115">
        <v>79986.760857209796</v>
      </c>
      <c r="K45" s="115">
        <v>90313.215561446574</v>
      </c>
      <c r="L45" s="115">
        <v>117849.73965980775</v>
      </c>
      <c r="M45" s="115">
        <v>148686.25964934769</v>
      </c>
      <c r="N45" s="115">
        <v>280914.00304470194</v>
      </c>
      <c r="O45" s="115">
        <v>396713.92528914311</v>
      </c>
      <c r="P45" s="115">
        <v>757237.95714394108</v>
      </c>
      <c r="Q45" s="115">
        <v>1201065.5118587594</v>
      </c>
    </row>
    <row r="46" spans="1:17" s="109" customFormat="1" ht="10.199999999999999">
      <c r="A46" s="109" t="s">
        <v>143</v>
      </c>
      <c r="B46" s="111">
        <v>13158.933999999999</v>
      </c>
      <c r="C46" s="111">
        <v>15364.466854502658</v>
      </c>
      <c r="D46" s="111">
        <v>19170.669950567757</v>
      </c>
      <c r="E46" s="111">
        <v>26050.994796172876</v>
      </c>
      <c r="F46" s="111">
        <v>31966.988178529413</v>
      </c>
      <c r="G46" s="111">
        <v>36760.668422878232</v>
      </c>
      <c r="H46" s="111">
        <v>46088.929479429113</v>
      </c>
      <c r="I46" s="111">
        <v>55287.154499132223</v>
      </c>
      <c r="J46" s="111">
        <v>63210.197991701702</v>
      </c>
      <c r="K46" s="111">
        <v>70598.669513044239</v>
      </c>
      <c r="L46" s="111">
        <v>89199.205634025027</v>
      </c>
      <c r="M46" s="111">
        <v>115019.02410644831</v>
      </c>
      <c r="N46" s="111">
        <v>215043.51122365636</v>
      </c>
      <c r="O46" s="111">
        <v>295546.23684624647</v>
      </c>
      <c r="P46" s="111">
        <v>577702.6761245816</v>
      </c>
      <c r="Q46" s="111">
        <v>906435.1189061862</v>
      </c>
    </row>
    <row r="47" spans="1:17" s="109" customFormat="1" ht="10.199999999999999">
      <c r="A47" s="109" t="s">
        <v>142</v>
      </c>
      <c r="B47" s="111">
        <v>5602.7479999999996</v>
      </c>
      <c r="C47" s="111">
        <v>6318.706968448786</v>
      </c>
      <c r="D47" s="111">
        <v>6613.9587664311375</v>
      </c>
      <c r="E47" s="111">
        <v>7287.6890134966288</v>
      </c>
      <c r="F47" s="111">
        <v>7898.6160868275883</v>
      </c>
      <c r="G47" s="111">
        <v>7056.9024735456651</v>
      </c>
      <c r="H47" s="111">
        <v>8726.9301136296508</v>
      </c>
      <c r="I47" s="111">
        <v>9864.0835312470153</v>
      </c>
      <c r="J47" s="111">
        <v>10139.659657549415</v>
      </c>
      <c r="K47" s="111">
        <v>11421.40088852892</v>
      </c>
      <c r="L47" s="111">
        <v>16909.570932928924</v>
      </c>
      <c r="M47" s="111">
        <v>18123.790814943761</v>
      </c>
      <c r="N47" s="111">
        <v>37266.902506701568</v>
      </c>
      <c r="O47" s="111">
        <v>58455.674366166888</v>
      </c>
      <c r="P47" s="111">
        <v>121542.96581607014</v>
      </c>
      <c r="Q47" s="111">
        <v>208891.51990212454</v>
      </c>
    </row>
    <row r="48" spans="1:17" s="109" customFormat="1" ht="10.199999999999999">
      <c r="A48" s="109" t="s">
        <v>141</v>
      </c>
      <c r="B48" s="111">
        <v>2128.5490000000027</v>
      </c>
      <c r="C48" s="111">
        <v>2348.3695041536694</v>
      </c>
      <c r="D48" s="111">
        <v>2389.0819479460847</v>
      </c>
      <c r="E48" s="111">
        <v>2620.6670722960985</v>
      </c>
      <c r="F48" s="111">
        <v>2857.892386950638</v>
      </c>
      <c r="G48" s="111">
        <v>3422.1242324011646</v>
      </c>
      <c r="H48" s="111">
        <v>4086.5164256226958</v>
      </c>
      <c r="I48" s="111">
        <v>4842.7665641675458</v>
      </c>
      <c r="J48" s="111">
        <v>6636.9032079586805</v>
      </c>
      <c r="K48" s="111">
        <v>8293.1451598734129</v>
      </c>
      <c r="L48" s="111">
        <v>11740.963092853799</v>
      </c>
      <c r="M48" s="111">
        <v>15543.444727955613</v>
      </c>
      <c r="N48" s="111">
        <v>28603.589314344012</v>
      </c>
      <c r="O48" s="111">
        <v>42712.014076729742</v>
      </c>
      <c r="P48" s="111">
        <v>57992.315203289436</v>
      </c>
      <c r="Q48" s="111">
        <v>85738.873050448776</v>
      </c>
    </row>
    <row r="49" spans="1:17" s="109" customFormat="1" ht="12">
      <c r="A49" s="116" t="s">
        <v>66</v>
      </c>
      <c r="B49" s="115">
        <v>42662.908999999992</v>
      </c>
      <c r="C49" s="115">
        <v>54217.823030883235</v>
      </c>
      <c r="D49" s="115">
        <v>71213.158370276564</v>
      </c>
      <c r="E49" s="115">
        <v>90433.900846687058</v>
      </c>
      <c r="F49" s="115">
        <v>116288.01926352225</v>
      </c>
      <c r="G49" s="115">
        <v>107895.59928698215</v>
      </c>
      <c r="H49" s="115">
        <v>150346.28321484462</v>
      </c>
      <c r="I49" s="115">
        <v>207136.73376478557</v>
      </c>
      <c r="J49" s="115">
        <v>239702.60149937076</v>
      </c>
      <c r="K49" s="115">
        <v>302843.83085662615</v>
      </c>
      <c r="L49" s="115">
        <v>402617.44248232624</v>
      </c>
      <c r="M49" s="115">
        <v>507073.29048693535</v>
      </c>
      <c r="N49" s="115">
        <v>590450.90524151665</v>
      </c>
      <c r="O49" s="115">
        <v>840123.96474437427</v>
      </c>
      <c r="P49" s="115">
        <v>1108479.9714099451</v>
      </c>
      <c r="Q49" s="115">
        <v>1530830.2597280287</v>
      </c>
    </row>
    <row r="50" spans="1:17" s="109" customFormat="1" ht="12">
      <c r="A50" s="116" t="s">
        <v>140</v>
      </c>
      <c r="B50" s="115">
        <v>84589.879482889228</v>
      </c>
      <c r="C50" s="115">
        <v>101919.80267596878</v>
      </c>
      <c r="D50" s="115">
        <v>125563.3427574338</v>
      </c>
      <c r="E50" s="115">
        <v>161907.5046073804</v>
      </c>
      <c r="F50" s="115">
        <v>208818.30404355784</v>
      </c>
      <c r="G50" s="115">
        <v>216174.80193318147</v>
      </c>
      <c r="H50" s="115">
        <v>292699.98554627754</v>
      </c>
      <c r="I50" s="115">
        <v>384844.80554169958</v>
      </c>
      <c r="J50" s="115">
        <v>457725.3136495736</v>
      </c>
      <c r="K50" s="115">
        <v>580065.39746802568</v>
      </c>
      <c r="L50" s="115">
        <v>779174.69984105066</v>
      </c>
      <c r="M50" s="115">
        <v>1137092.6409306617</v>
      </c>
      <c r="N50" s="115">
        <v>1560792.1027690615</v>
      </c>
      <c r="O50" s="115">
        <v>1997050.6303010823</v>
      </c>
      <c r="P50" s="115">
        <v>2677813.472166033</v>
      </c>
      <c r="Q50" s="115">
        <v>3899131.713023446</v>
      </c>
    </row>
    <row r="51" spans="1:17" s="109" customFormat="1" ht="12">
      <c r="A51" s="116" t="s">
        <v>139</v>
      </c>
      <c r="B51" s="115">
        <v>17939.334444193311</v>
      </c>
      <c r="C51" s="115">
        <v>23812.211142788492</v>
      </c>
      <c r="D51" s="115">
        <v>30898.937028955399</v>
      </c>
      <c r="E51" s="115">
        <v>40415.895499720122</v>
      </c>
      <c r="F51" s="115">
        <v>53051.976544250341</v>
      </c>
      <c r="G51" s="115">
        <v>57246.526070452775</v>
      </c>
      <c r="H51" s="115">
        <v>78998.536552915641</v>
      </c>
      <c r="I51" s="115">
        <v>110078.27209965966</v>
      </c>
      <c r="J51" s="115">
        <v>146017.24428984153</v>
      </c>
      <c r="K51" s="115">
        <v>182564.31422046362</v>
      </c>
      <c r="L51" s="115">
        <v>249103.80875396729</v>
      </c>
      <c r="M51" s="115">
        <v>337910.26334496326</v>
      </c>
      <c r="N51" s="115">
        <v>457749.47000725544</v>
      </c>
      <c r="O51" s="115">
        <v>629024.29622687912</v>
      </c>
      <c r="P51" s="115">
        <v>808658.16696940956</v>
      </c>
      <c r="Q51" s="115">
        <v>1148759.1476351479</v>
      </c>
    </row>
    <row r="52" spans="1:17" s="109" customFormat="1" ht="10.199999999999999">
      <c r="A52" s="109" t="s">
        <v>138</v>
      </c>
      <c r="B52" s="111">
        <v>2777.949444208471</v>
      </c>
      <c r="C52" s="111">
        <v>3676.228780107172</v>
      </c>
      <c r="D52" s="111">
        <v>4735.5200123025534</v>
      </c>
      <c r="E52" s="111">
        <v>6032.1022700844869</v>
      </c>
      <c r="F52" s="111">
        <v>7547.9693632217195</v>
      </c>
      <c r="G52" s="111">
        <v>7307.9380395976887</v>
      </c>
      <c r="H52" s="111">
        <v>9610.5579846791316</v>
      </c>
      <c r="I52" s="111">
        <v>12487.306798710462</v>
      </c>
      <c r="J52" s="111">
        <v>14872.497933960454</v>
      </c>
      <c r="K52" s="111">
        <v>17656.925616298653</v>
      </c>
      <c r="L52" s="111">
        <v>24793.578371752756</v>
      </c>
      <c r="M52" s="111">
        <v>32055.750973020928</v>
      </c>
      <c r="N52" s="111">
        <v>43252.170103084791</v>
      </c>
      <c r="O52" s="111">
        <v>54738.692367013784</v>
      </c>
      <c r="P52" s="111">
        <v>71462.222215188071</v>
      </c>
      <c r="Q52" s="111">
        <v>101856.65741087888</v>
      </c>
    </row>
    <row r="53" spans="1:17" s="109" customFormat="1" ht="10.199999999999999">
      <c r="A53" s="109" t="s">
        <v>137</v>
      </c>
      <c r="B53" s="111">
        <v>15161.384999984839</v>
      </c>
      <c r="C53" s="111">
        <v>20135.982362681323</v>
      </c>
      <c r="D53" s="111">
        <v>26163.417016652849</v>
      </c>
      <c r="E53" s="111">
        <v>34383.79322963563</v>
      </c>
      <c r="F53" s="111">
        <v>45504.007181028617</v>
      </c>
      <c r="G53" s="111">
        <v>49938.588030855084</v>
      </c>
      <c r="H53" s="111">
        <v>69387.978568236518</v>
      </c>
      <c r="I53" s="111">
        <v>97590.965300949203</v>
      </c>
      <c r="J53" s="111">
        <v>131144.74635588107</v>
      </c>
      <c r="K53" s="111">
        <v>164907.38860416497</v>
      </c>
      <c r="L53" s="111">
        <v>224310.2303822145</v>
      </c>
      <c r="M53" s="111">
        <v>305854.51237194234</v>
      </c>
      <c r="N53" s="111">
        <v>414497.29990417062</v>
      </c>
      <c r="O53" s="111">
        <v>574285.60385986534</v>
      </c>
      <c r="P53" s="111">
        <v>737195.94475422159</v>
      </c>
      <c r="Q53" s="111">
        <v>1046902.4902242689</v>
      </c>
    </row>
    <row r="54" spans="1:17" s="109" customFormat="1" ht="12">
      <c r="A54" s="116" t="s">
        <v>136</v>
      </c>
      <c r="B54" s="115">
        <v>68940.393784151587</v>
      </c>
      <c r="C54" s="115">
        <v>84232.293537306614</v>
      </c>
      <c r="D54" s="115">
        <v>104840.25295709814</v>
      </c>
      <c r="E54" s="115">
        <v>134501.79765415788</v>
      </c>
      <c r="F54" s="115">
        <v>171041.25101826608</v>
      </c>
      <c r="G54" s="115">
        <v>188713.72342523714</v>
      </c>
      <c r="H54" s="115">
        <v>244289.59341167982</v>
      </c>
      <c r="I54" s="115">
        <v>310505.27995585132</v>
      </c>
      <c r="J54" s="115">
        <v>372946.73936170351</v>
      </c>
      <c r="K54" s="115">
        <v>466207.92135930655</v>
      </c>
      <c r="L54" s="115">
        <v>636728.90824815945</v>
      </c>
      <c r="M54" s="115">
        <v>799795.29503701476</v>
      </c>
      <c r="N54" s="115">
        <v>1115678.6124132145</v>
      </c>
      <c r="O54" s="115">
        <v>1507728.9439551777</v>
      </c>
      <c r="P54" s="115">
        <v>2116446.2955111968</v>
      </c>
      <c r="Q54" s="115">
        <v>3188895.4772731331</v>
      </c>
    </row>
    <row r="55" spans="1:17" s="109" customFormat="1" ht="10.199999999999999">
      <c r="A55" s="109" t="s">
        <v>135</v>
      </c>
      <c r="B55" s="111">
        <v>47989.185571340335</v>
      </c>
      <c r="C55" s="111">
        <v>56069.668915634051</v>
      </c>
      <c r="D55" s="111">
        <v>67203.498630039394</v>
      </c>
      <c r="E55" s="111">
        <v>83084.819272976922</v>
      </c>
      <c r="F55" s="111">
        <v>102566.84018741804</v>
      </c>
      <c r="G55" s="111">
        <v>104843.55751384622</v>
      </c>
      <c r="H55" s="111">
        <v>140249.47736458678</v>
      </c>
      <c r="I55" s="111">
        <v>180814.39581264192</v>
      </c>
      <c r="J55" s="111">
        <v>212631.58901754936</v>
      </c>
      <c r="K55" s="111">
        <v>280594.94159017078</v>
      </c>
      <c r="L55" s="111">
        <v>396145.08334208111</v>
      </c>
      <c r="M55" s="111">
        <v>482055.2390139823</v>
      </c>
      <c r="N55" s="111">
        <v>673305.50240436848</v>
      </c>
      <c r="O55" s="111">
        <v>901787.12083694537</v>
      </c>
      <c r="P55" s="111">
        <v>1322734.5116349785</v>
      </c>
      <c r="Q55" s="111">
        <v>1999627.8224756736</v>
      </c>
    </row>
    <row r="56" spans="1:17" s="109" customFormat="1" ht="10.199999999999999">
      <c r="A56" s="109" t="s">
        <v>134</v>
      </c>
      <c r="B56" s="111">
        <v>20951.208212811256</v>
      </c>
      <c r="C56" s="111">
        <v>28162.624621672556</v>
      </c>
      <c r="D56" s="111">
        <v>37636.75432705877</v>
      </c>
      <c r="E56" s="111">
        <v>51416.978381180939</v>
      </c>
      <c r="F56" s="111">
        <v>68474.410830848035</v>
      </c>
      <c r="G56" s="111">
        <v>83870.165911390897</v>
      </c>
      <c r="H56" s="111">
        <v>104040.11604709303</v>
      </c>
      <c r="I56" s="111">
        <v>129690.88414320936</v>
      </c>
      <c r="J56" s="111">
        <v>160315.15034415413</v>
      </c>
      <c r="K56" s="111">
        <v>185612.97976913577</v>
      </c>
      <c r="L56" s="111">
        <v>240583.82490607828</v>
      </c>
      <c r="M56" s="111">
        <v>317740.05602303246</v>
      </c>
      <c r="N56" s="111">
        <v>442373.11000884592</v>
      </c>
      <c r="O56" s="111">
        <v>605941.82311823242</v>
      </c>
      <c r="P56" s="111">
        <v>793711.78387621837</v>
      </c>
      <c r="Q56" s="111">
        <v>1189267.6547974595</v>
      </c>
    </row>
    <row r="57" spans="1:17" s="109" customFormat="1" ht="12">
      <c r="A57" s="116" t="s">
        <v>133</v>
      </c>
      <c r="B57" s="115">
        <v>25445.955991024868</v>
      </c>
      <c r="C57" s="115">
        <v>31249.526064954938</v>
      </c>
      <c r="D57" s="115">
        <v>38816.049311626775</v>
      </c>
      <c r="E57" s="115">
        <v>48962.052877815229</v>
      </c>
      <c r="F57" s="115">
        <v>61679.385274427426</v>
      </c>
      <c r="G57" s="115">
        <v>70776.320172112333</v>
      </c>
      <c r="H57" s="115">
        <v>87426.127865999166</v>
      </c>
      <c r="I57" s="115">
        <v>114557.38345500697</v>
      </c>
      <c r="J57" s="115">
        <v>154700.61159093311</v>
      </c>
      <c r="K57" s="115">
        <v>195364.47660314071</v>
      </c>
      <c r="L57" s="115">
        <v>268646.24971228861</v>
      </c>
      <c r="M57" s="115">
        <v>340437.73039233097</v>
      </c>
      <c r="N57" s="115">
        <v>517487.78118804662</v>
      </c>
      <c r="O57" s="115">
        <v>683933.61284496402</v>
      </c>
      <c r="P57" s="115">
        <v>970951.93209446035</v>
      </c>
      <c r="Q57" s="115">
        <v>1298940.8573134413</v>
      </c>
    </row>
    <row r="58" spans="1:17" s="109" customFormat="1" ht="10.199999999999999">
      <c r="A58" s="109" t="s">
        <v>132</v>
      </c>
      <c r="B58" s="111">
        <v>14323.948517287377</v>
      </c>
      <c r="C58" s="111">
        <v>17966.183637940321</v>
      </c>
      <c r="D58" s="111">
        <v>22079.713637796835</v>
      </c>
      <c r="E58" s="111">
        <v>27371.079717938632</v>
      </c>
      <c r="F58" s="111">
        <v>35974.309705285683</v>
      </c>
      <c r="G58" s="111">
        <v>40919.767371947346</v>
      </c>
      <c r="H58" s="111">
        <v>48609.251045526922</v>
      </c>
      <c r="I58" s="111">
        <v>63039.385084959686</v>
      </c>
      <c r="J58" s="111">
        <v>89560.006541417533</v>
      </c>
      <c r="K58" s="111">
        <v>109727.42274812289</v>
      </c>
      <c r="L58" s="111">
        <v>153972.65737889215</v>
      </c>
      <c r="M58" s="111">
        <v>190807.45955399936</v>
      </c>
      <c r="N58" s="111">
        <v>316349.00338081765</v>
      </c>
      <c r="O58" s="111">
        <v>416922.01913476287</v>
      </c>
      <c r="P58" s="111">
        <v>608243.47586351447</v>
      </c>
      <c r="Q58" s="111">
        <v>780736.22353340557</v>
      </c>
    </row>
    <row r="59" spans="1:17" s="109" customFormat="1" ht="10.199999999999999">
      <c r="A59" s="109" t="s">
        <v>131</v>
      </c>
      <c r="B59" s="111">
        <v>8918.7025460500081</v>
      </c>
      <c r="C59" s="111">
        <v>10724.801165108311</v>
      </c>
      <c r="D59" s="111">
        <v>13654.930433709251</v>
      </c>
      <c r="E59" s="111">
        <v>17546.49851596589</v>
      </c>
      <c r="F59" s="111">
        <v>20009.331173203467</v>
      </c>
      <c r="G59" s="111">
        <v>23409.198750448744</v>
      </c>
      <c r="H59" s="111">
        <v>30531.325573719569</v>
      </c>
      <c r="I59" s="111">
        <v>40174.510446257686</v>
      </c>
      <c r="J59" s="111">
        <v>50762.47507729214</v>
      </c>
      <c r="K59" s="111">
        <v>67241.795226700604</v>
      </c>
      <c r="L59" s="111">
        <v>90376.713867452607</v>
      </c>
      <c r="M59" s="111">
        <v>117680.35746119748</v>
      </c>
      <c r="N59" s="111">
        <v>157335.30623402214</v>
      </c>
      <c r="O59" s="111">
        <v>207387.02624756552</v>
      </c>
      <c r="P59" s="111">
        <v>280425.12472174788</v>
      </c>
      <c r="Q59" s="111">
        <v>396275.55374740693</v>
      </c>
    </row>
    <row r="60" spans="1:17" s="109" customFormat="1" ht="10.199999999999999">
      <c r="A60" s="109" t="s">
        <v>130</v>
      </c>
      <c r="B60" s="111">
        <v>2203.3049276874794</v>
      </c>
      <c r="C60" s="111">
        <v>2558.541261906304</v>
      </c>
      <c r="D60" s="111">
        <v>3081.40524012069</v>
      </c>
      <c r="E60" s="111">
        <v>4044.4746439107012</v>
      </c>
      <c r="F60" s="111">
        <v>5695.7443959382754</v>
      </c>
      <c r="G60" s="111">
        <v>6447.3540497162203</v>
      </c>
      <c r="H60" s="111">
        <v>8285.551246752666</v>
      </c>
      <c r="I60" s="111">
        <v>11343.487923789606</v>
      </c>
      <c r="J60" s="111">
        <v>14378.129972223434</v>
      </c>
      <c r="K60" s="111">
        <v>18395.258628317206</v>
      </c>
      <c r="L60" s="111">
        <v>24296.878465943886</v>
      </c>
      <c r="M60" s="111">
        <v>31949.913377134071</v>
      </c>
      <c r="N60" s="111">
        <v>43803.471573206894</v>
      </c>
      <c r="O60" s="111">
        <v>59624.56746263559</v>
      </c>
      <c r="P60" s="111">
        <v>82283.331509198077</v>
      </c>
      <c r="Q60" s="111">
        <v>121929.08003262882</v>
      </c>
    </row>
    <row r="61" spans="1:17" s="109" customFormat="1" ht="12">
      <c r="A61" s="116" t="s">
        <v>129</v>
      </c>
      <c r="B61" s="115">
        <v>71128.773496224327</v>
      </c>
      <c r="C61" s="115">
        <v>83138.969340247189</v>
      </c>
      <c r="D61" s="115">
        <v>99896.963615312663</v>
      </c>
      <c r="E61" s="115">
        <v>123778.42469273345</v>
      </c>
      <c r="F61" s="115">
        <v>154257.57547380246</v>
      </c>
      <c r="G61" s="115">
        <v>177802.51165984629</v>
      </c>
      <c r="H61" s="115">
        <v>221690.14822946087</v>
      </c>
      <c r="I61" s="115">
        <v>285481.31195652566</v>
      </c>
      <c r="J61" s="115">
        <v>348036.87873173202</v>
      </c>
      <c r="K61" s="115">
        <v>449492.86341771809</v>
      </c>
      <c r="L61" s="115">
        <v>586648.27055175463</v>
      </c>
      <c r="M61" s="115">
        <v>790328.64437800529</v>
      </c>
      <c r="N61" s="115">
        <v>1082272.5187208119</v>
      </c>
      <c r="O61" s="115">
        <v>1482520.3954336715</v>
      </c>
      <c r="P61" s="115">
        <v>2054953.4299994821</v>
      </c>
      <c r="Q61" s="115">
        <v>2964107.5857088966</v>
      </c>
    </row>
    <row r="62" spans="1:17" s="109" customFormat="1" ht="10.199999999999999">
      <c r="A62" s="109" t="s">
        <v>128</v>
      </c>
      <c r="B62" s="111">
        <v>30572.376766312755</v>
      </c>
      <c r="C62" s="111">
        <v>34262.374431484459</v>
      </c>
      <c r="D62" s="111">
        <v>38065.90825807496</v>
      </c>
      <c r="E62" s="111">
        <v>42852.122527042331</v>
      </c>
      <c r="F62" s="111">
        <v>51766.984668455094</v>
      </c>
      <c r="G62" s="111">
        <v>61450.881721432866</v>
      </c>
      <c r="H62" s="111">
        <v>72121.726049487741</v>
      </c>
      <c r="I62" s="111">
        <v>82767.840828046683</v>
      </c>
      <c r="J62" s="111">
        <v>101033.7363985821</v>
      </c>
      <c r="K62" s="111">
        <v>122517.32495027925</v>
      </c>
      <c r="L62" s="111">
        <v>155271.16527536689</v>
      </c>
      <c r="M62" s="111">
        <v>205877.11081664744</v>
      </c>
      <c r="N62" s="111">
        <v>296091.87374717218</v>
      </c>
      <c r="O62" s="111">
        <v>410065.04647324706</v>
      </c>
      <c r="P62" s="111">
        <v>582349.3039696971</v>
      </c>
      <c r="Q62" s="111">
        <v>865436.64531722129</v>
      </c>
    </row>
    <row r="63" spans="1:17" s="109" customFormat="1" ht="10.199999999999999">
      <c r="A63" s="109" t="s">
        <v>127</v>
      </c>
      <c r="B63" s="111">
        <v>40556.396729911568</v>
      </c>
      <c r="C63" s="111">
        <v>48876.594908762716</v>
      </c>
      <c r="D63" s="111">
        <v>61831.055357237703</v>
      </c>
      <c r="E63" s="111">
        <v>80926.30216569113</v>
      </c>
      <c r="F63" s="111">
        <v>102490.59080534737</v>
      </c>
      <c r="G63" s="111">
        <v>116351.62993841348</v>
      </c>
      <c r="H63" s="111">
        <v>149568.42217997316</v>
      </c>
      <c r="I63" s="111">
        <v>202713.47112847902</v>
      </c>
      <c r="J63" s="111">
        <v>247003.14233314988</v>
      </c>
      <c r="K63" s="111">
        <v>326975.53846743883</v>
      </c>
      <c r="L63" s="111">
        <v>431377.10527638771</v>
      </c>
      <c r="M63" s="111">
        <v>584451.53356135776</v>
      </c>
      <c r="N63" s="111">
        <v>786180.64497363975</v>
      </c>
      <c r="O63" s="111">
        <v>1072455.3489604243</v>
      </c>
      <c r="P63" s="111">
        <v>1472604.126029785</v>
      </c>
      <c r="Q63" s="111">
        <v>2098670.9403916756</v>
      </c>
    </row>
    <row r="64" spans="1:17" s="109" customFormat="1" ht="12">
      <c r="A64" s="116" t="s">
        <v>126</v>
      </c>
      <c r="B64" s="115">
        <v>32639.127405501851</v>
      </c>
      <c r="C64" s="115">
        <v>41921.564234446763</v>
      </c>
      <c r="D64" s="115">
        <v>52060.936218241979</v>
      </c>
      <c r="E64" s="115">
        <v>67591.206365953942</v>
      </c>
      <c r="F64" s="115">
        <v>90254.489451497226</v>
      </c>
      <c r="G64" s="115">
        <v>114658.20900157034</v>
      </c>
      <c r="H64" s="115">
        <v>149208.75105891877</v>
      </c>
      <c r="I64" s="115">
        <v>200585.11563047487</v>
      </c>
      <c r="J64" s="115">
        <v>258173.85465466548</v>
      </c>
      <c r="K64" s="115">
        <v>332830.73702990363</v>
      </c>
      <c r="L64" s="115">
        <v>467075.87255576719</v>
      </c>
      <c r="M64" s="115">
        <v>641297.74112918507</v>
      </c>
      <c r="N64" s="115">
        <v>873805.97829982452</v>
      </c>
      <c r="O64" s="115">
        <v>1131260.4981041893</v>
      </c>
      <c r="P64" s="115">
        <v>1420457.4898371433</v>
      </c>
      <c r="Q64" s="115">
        <v>1966775.2639149516</v>
      </c>
    </row>
    <row r="65" spans="1:17" s="109" customFormat="1" ht="12">
      <c r="A65" s="116" t="s">
        <v>125</v>
      </c>
      <c r="B65" s="115">
        <v>20526.387331399299</v>
      </c>
      <c r="C65" s="115">
        <v>26726.038884347985</v>
      </c>
      <c r="D65" s="115">
        <v>34606.823237302022</v>
      </c>
      <c r="E65" s="115">
        <v>44888.470982265091</v>
      </c>
      <c r="F65" s="115">
        <v>60969.0721059688</v>
      </c>
      <c r="G65" s="115">
        <v>76306.490847175257</v>
      </c>
      <c r="H65" s="115">
        <v>94357.524468101503</v>
      </c>
      <c r="I65" s="115">
        <v>130457.29800830198</v>
      </c>
      <c r="J65" s="115">
        <v>167023.45294515323</v>
      </c>
      <c r="K65" s="115">
        <v>211105.40745661341</v>
      </c>
      <c r="L65" s="115">
        <v>284534.01854622149</v>
      </c>
      <c r="M65" s="115">
        <v>403690.41022540495</v>
      </c>
      <c r="N65" s="115">
        <v>547270.32010884117</v>
      </c>
      <c r="O65" s="115">
        <v>708416.72787337448</v>
      </c>
      <c r="P65" s="115">
        <v>896093.75630193681</v>
      </c>
      <c r="Q65" s="115">
        <v>1297262.7678994827</v>
      </c>
    </row>
    <row r="66" spans="1:17" s="109" customFormat="1" ht="10.199999999999999">
      <c r="A66" s="109" t="s">
        <v>124</v>
      </c>
      <c r="B66" s="111">
        <v>13820.126331399299</v>
      </c>
      <c r="C66" s="111">
        <v>18440.474327151827</v>
      </c>
      <c r="D66" s="111">
        <v>23882.981458474693</v>
      </c>
      <c r="E66" s="111">
        <v>31675.285866852486</v>
      </c>
      <c r="F66" s="111">
        <v>43529.299470927894</v>
      </c>
      <c r="G66" s="111">
        <v>54143.191753811865</v>
      </c>
      <c r="H66" s="111">
        <v>66157.608401741716</v>
      </c>
      <c r="I66" s="111">
        <v>92122.936289471079</v>
      </c>
      <c r="J66" s="111">
        <v>117657.30733841231</v>
      </c>
      <c r="K66" s="111">
        <v>147987.20359159089</v>
      </c>
      <c r="L66" s="111">
        <v>197807.1113506105</v>
      </c>
      <c r="M66" s="111">
        <v>281368.04203560256</v>
      </c>
      <c r="N66" s="111">
        <v>376505.81511369382</v>
      </c>
      <c r="O66" s="111">
        <v>483047.69024633546</v>
      </c>
      <c r="P66" s="111">
        <v>594552.71986608172</v>
      </c>
      <c r="Q66" s="111">
        <v>851083.35971300455</v>
      </c>
    </row>
    <row r="67" spans="1:17" s="109" customFormat="1" ht="10.199999999999999">
      <c r="A67" s="109" t="s">
        <v>123</v>
      </c>
      <c r="B67" s="111">
        <v>6706.2610000000004</v>
      </c>
      <c r="C67" s="111">
        <v>8285.5645571961613</v>
      </c>
      <c r="D67" s="111">
        <v>10723.841778827322</v>
      </c>
      <c r="E67" s="111">
        <v>13213.185115412607</v>
      </c>
      <c r="F67" s="111">
        <v>17439.772635040918</v>
      </c>
      <c r="G67" s="111">
        <v>22163.299093363388</v>
      </c>
      <c r="H67" s="111">
        <v>28199.916066359798</v>
      </c>
      <c r="I67" s="111">
        <v>38334.361718830914</v>
      </c>
      <c r="J67" s="111">
        <v>49366.145606740938</v>
      </c>
      <c r="K67" s="111">
        <v>63118.203865022559</v>
      </c>
      <c r="L67" s="111">
        <v>86726.907195610984</v>
      </c>
      <c r="M67" s="111">
        <v>122322.36818980241</v>
      </c>
      <c r="N67" s="111">
        <v>170764.50499514741</v>
      </c>
      <c r="O67" s="111">
        <v>225369.03762703895</v>
      </c>
      <c r="P67" s="111">
        <v>301541.03643585515</v>
      </c>
      <c r="Q67" s="111">
        <v>446179.40818647813</v>
      </c>
    </row>
    <row r="68" spans="1:17" s="109" customFormat="1" ht="12">
      <c r="A68" s="116" t="s">
        <v>122</v>
      </c>
      <c r="B68" s="115">
        <v>22311.803797830729</v>
      </c>
      <c r="C68" s="115">
        <v>27281.01101469779</v>
      </c>
      <c r="D68" s="115">
        <v>33894.977297025842</v>
      </c>
      <c r="E68" s="115">
        <v>43799.230190165908</v>
      </c>
      <c r="F68" s="115">
        <v>60255.943608986207</v>
      </c>
      <c r="G68" s="115">
        <v>81032.19322307891</v>
      </c>
      <c r="H68" s="115">
        <v>103768.72532709317</v>
      </c>
      <c r="I68" s="115">
        <v>145174.50667250197</v>
      </c>
      <c r="J68" s="115">
        <v>191548.95904910346</v>
      </c>
      <c r="K68" s="115">
        <v>249431.41314957853</v>
      </c>
      <c r="L68" s="115">
        <v>340345.71402835374</v>
      </c>
      <c r="M68" s="115">
        <v>464785.96146750019</v>
      </c>
      <c r="N68" s="115">
        <v>659689.49834106525</v>
      </c>
      <c r="O68" s="115">
        <v>876757.68785106228</v>
      </c>
      <c r="P68" s="115">
        <v>1165382.6575348177</v>
      </c>
      <c r="Q68" s="115">
        <v>1662534.4149493447</v>
      </c>
    </row>
    <row r="69" spans="1:17" s="109" customFormat="1" ht="10.199999999999999">
      <c r="A69" s="109" t="s">
        <v>121</v>
      </c>
      <c r="B69" s="111">
        <v>6849.1087978307323</v>
      </c>
      <c r="C69" s="111">
        <v>8630.2554307468345</v>
      </c>
      <c r="D69" s="111">
        <v>10798.35372449364</v>
      </c>
      <c r="E69" s="111">
        <v>14012.298029995723</v>
      </c>
      <c r="F69" s="111">
        <v>18621.940004462904</v>
      </c>
      <c r="G69" s="111">
        <v>24049.020194474178</v>
      </c>
      <c r="H69" s="111">
        <v>29735.436191393783</v>
      </c>
      <c r="I69" s="111">
        <v>40091.039026830615</v>
      </c>
      <c r="J69" s="111">
        <v>50781.242335488598</v>
      </c>
      <c r="K69" s="111">
        <v>66111.208334030831</v>
      </c>
      <c r="L69" s="111">
        <v>90093.085451399384</v>
      </c>
      <c r="M69" s="111">
        <v>125256.23871783318</v>
      </c>
      <c r="N69" s="111">
        <v>165531.66806705674</v>
      </c>
      <c r="O69" s="111">
        <v>217750.71809956984</v>
      </c>
      <c r="P69" s="111">
        <v>275788.74942116393</v>
      </c>
      <c r="Q69" s="111">
        <v>405924.53335738525</v>
      </c>
    </row>
    <row r="70" spans="1:17" s="109" customFormat="1" ht="10.199999999999999">
      <c r="A70" s="109" t="s">
        <v>120</v>
      </c>
      <c r="B70" s="111">
        <v>15462.694999999998</v>
      </c>
      <c r="C70" s="111">
        <v>18650.755583950955</v>
      </c>
      <c r="D70" s="111">
        <v>23096.623572532211</v>
      </c>
      <c r="E70" s="111">
        <v>29786.932160170178</v>
      </c>
      <c r="F70" s="111">
        <v>41634.003604523299</v>
      </c>
      <c r="G70" s="111">
        <v>56983.173028604731</v>
      </c>
      <c r="H70" s="111">
        <v>74033.289135699393</v>
      </c>
      <c r="I70" s="111">
        <v>105083.46764567136</v>
      </c>
      <c r="J70" s="111">
        <v>140767.71671361488</v>
      </c>
      <c r="K70" s="111">
        <v>183320.20481554765</v>
      </c>
      <c r="L70" s="111">
        <v>250252.62857695436</v>
      </c>
      <c r="M70" s="111">
        <v>339529.72274966707</v>
      </c>
      <c r="N70" s="111">
        <v>494157.83027400851</v>
      </c>
      <c r="O70" s="111">
        <v>659006.96975149249</v>
      </c>
      <c r="P70" s="111">
        <v>889593.90811365366</v>
      </c>
      <c r="Q70" s="111">
        <v>1256609.8815919594</v>
      </c>
    </row>
    <row r="71" spans="1:17" s="109" customFormat="1" ht="12">
      <c r="A71" s="116" t="s">
        <v>119</v>
      </c>
      <c r="B71" s="115">
        <v>22974.451065802485</v>
      </c>
      <c r="C71" s="115">
        <v>27862.598624476534</v>
      </c>
      <c r="D71" s="115">
        <v>35133.467889750915</v>
      </c>
      <c r="E71" s="115">
        <v>43024.389756866338</v>
      </c>
      <c r="F71" s="115">
        <v>55618.290945294619</v>
      </c>
      <c r="G71" s="115">
        <v>66657.411899388797</v>
      </c>
      <c r="H71" s="115">
        <v>84971.769426622588</v>
      </c>
      <c r="I71" s="115">
        <v>110556.9073191425</v>
      </c>
      <c r="J71" s="115">
        <v>140575.02967047654</v>
      </c>
      <c r="K71" s="115">
        <v>178444.40850262161</v>
      </c>
      <c r="L71" s="115">
        <v>235667.80831268796</v>
      </c>
      <c r="M71" s="115">
        <v>315351.95475933398</v>
      </c>
      <c r="N71" s="115">
        <v>429968.10271863983</v>
      </c>
      <c r="O71" s="115">
        <v>562439.05435765965</v>
      </c>
      <c r="P71" s="115">
        <v>724475.22690087405</v>
      </c>
      <c r="Q71" s="115">
        <v>1031942.9833544439</v>
      </c>
    </row>
    <row r="72" spans="1:17" s="109" customFormat="1" ht="10.199999999999999">
      <c r="A72" s="109" t="s">
        <v>118</v>
      </c>
      <c r="B72" s="111">
        <v>2091.2244770695952</v>
      </c>
      <c r="C72" s="111">
        <v>2691.0770062463675</v>
      </c>
      <c r="D72" s="111">
        <v>3433.9237348014422</v>
      </c>
      <c r="E72" s="111">
        <v>4743.2473380873662</v>
      </c>
      <c r="F72" s="111">
        <v>6298.5478755629565</v>
      </c>
      <c r="G72" s="111">
        <v>7929.9158482374942</v>
      </c>
      <c r="H72" s="111">
        <v>9967.1725405167126</v>
      </c>
      <c r="I72" s="111">
        <v>12738.311251829185</v>
      </c>
      <c r="J72" s="111">
        <v>16384.623164516346</v>
      </c>
      <c r="K72" s="111">
        <v>22050.287649027312</v>
      </c>
      <c r="L72" s="111">
        <v>28466.191322226085</v>
      </c>
      <c r="M72" s="111">
        <v>38462.687850856026</v>
      </c>
      <c r="N72" s="111">
        <v>55667.334423976688</v>
      </c>
      <c r="O72" s="111">
        <v>76071.208741611044</v>
      </c>
      <c r="P72" s="111">
        <v>98142.299906152271</v>
      </c>
      <c r="Q72" s="111">
        <v>148708.76200408619</v>
      </c>
    </row>
    <row r="73" spans="1:17" s="109" customFormat="1" ht="10.199999999999999">
      <c r="A73" s="109" t="s">
        <v>117</v>
      </c>
      <c r="B73" s="111">
        <v>7167.6093259885774</v>
      </c>
      <c r="C73" s="111">
        <v>8792.2314046769006</v>
      </c>
      <c r="D73" s="111">
        <v>11130.834672401048</v>
      </c>
      <c r="E73" s="111">
        <v>13958.399312696352</v>
      </c>
      <c r="F73" s="111">
        <v>19190.401831644864</v>
      </c>
      <c r="G73" s="111">
        <v>24033.373712300661</v>
      </c>
      <c r="H73" s="111">
        <v>32512.939342212401</v>
      </c>
      <c r="I73" s="111">
        <v>44151.471600423036</v>
      </c>
      <c r="J73" s="111">
        <v>58555.260591381477</v>
      </c>
      <c r="K73" s="111">
        <v>75445.322501229195</v>
      </c>
      <c r="L73" s="111">
        <v>101751.75588564586</v>
      </c>
      <c r="M73" s="111">
        <v>138669.41809831982</v>
      </c>
      <c r="N73" s="111">
        <v>187708.23767943677</v>
      </c>
      <c r="O73" s="111">
        <v>248786.7716393084</v>
      </c>
      <c r="P73" s="111">
        <v>333192.99898737954</v>
      </c>
      <c r="Q73" s="111">
        <v>481550.41882065503</v>
      </c>
    </row>
    <row r="74" spans="1:17" s="109" customFormat="1" ht="10.199999999999999">
      <c r="A74" s="109" t="s">
        <v>116</v>
      </c>
      <c r="B74" s="111">
        <v>13715.617262744312</v>
      </c>
      <c r="C74" s="111">
        <v>16379.290213553264</v>
      </c>
      <c r="D74" s="111">
        <v>20568.70948254842</v>
      </c>
      <c r="E74" s="111">
        <v>24322.743106082609</v>
      </c>
      <c r="F74" s="111">
        <v>30129.341238086796</v>
      </c>
      <c r="G74" s="111">
        <v>34694.122338850633</v>
      </c>
      <c r="H74" s="111">
        <v>42491.657543893474</v>
      </c>
      <c r="I74" s="111">
        <v>53667.124466890258</v>
      </c>
      <c r="J74" s="111">
        <v>65635.145914578708</v>
      </c>
      <c r="K74" s="111">
        <v>80948.798352365106</v>
      </c>
      <c r="L74" s="111">
        <v>105449.86110481602</v>
      </c>
      <c r="M74" s="111">
        <v>138219.84881015809</v>
      </c>
      <c r="N74" s="111">
        <v>186592.53061522645</v>
      </c>
      <c r="O74" s="111">
        <v>237581.07397674024</v>
      </c>
      <c r="P74" s="111">
        <v>293139.92800734221</v>
      </c>
      <c r="Q74" s="111">
        <v>401683.80252970266</v>
      </c>
    </row>
    <row r="75" spans="1:17" s="109" customFormat="1" ht="12">
      <c r="A75" s="114" t="s">
        <v>115</v>
      </c>
      <c r="B75" s="113">
        <v>3042.848560114448</v>
      </c>
      <c r="C75" s="113">
        <v>3604.7736342206931</v>
      </c>
      <c r="D75" s="113">
        <v>4542.8103244369886</v>
      </c>
      <c r="E75" s="113">
        <v>5589.0247317374315</v>
      </c>
      <c r="F75" s="113">
        <v>7306.7329126373807</v>
      </c>
      <c r="G75" s="113">
        <v>9166.209919217401</v>
      </c>
      <c r="H75" s="113">
        <v>11198.76354088747</v>
      </c>
      <c r="I75" s="113">
        <v>14652.729398780437</v>
      </c>
      <c r="J75" s="113">
        <v>19635.645595295697</v>
      </c>
      <c r="K75" s="113">
        <v>25959.62360836038</v>
      </c>
      <c r="L75" s="113">
        <v>33886.211381815941</v>
      </c>
      <c r="M75" s="113">
        <v>44540.173530254637</v>
      </c>
      <c r="N75" s="113">
        <v>58837.028504457405</v>
      </c>
      <c r="O75" s="113">
        <v>74606.990682831412</v>
      </c>
      <c r="P75" s="113">
        <v>96147.469620164149</v>
      </c>
      <c r="Q75" s="113">
        <v>138379.05564285454</v>
      </c>
    </row>
    <row r="76" spans="1:17" s="109" customFormat="1" ht="10.199999999999999"/>
    <row r="77" spans="1:17" s="109" customFormat="1" ht="11.4">
      <c r="A77" s="109" t="s">
        <v>114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s="109" customFormat="1" ht="11.4">
      <c r="A78" s="109" t="s">
        <v>113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s="109" customFormat="1" ht="10.199999999999999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s="109" customFormat="1" ht="10.199999999999999">
      <c r="A80" s="110" t="s">
        <v>112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8" s="109" customFormat="1" ht="10.199999999999999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1:18" s="109" customFormat="1" ht="10.199999999999999">
      <c r="A82" s="110" t="s">
        <v>111</v>
      </c>
    </row>
    <row r="83" spans="1:18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  <row r="84" spans="1:18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1:18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</row>
    <row r="86" spans="1:18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18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1:18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1:18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</row>
    <row r="90" spans="1:18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1:18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</row>
    <row r="92" spans="1:18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1:18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</row>
    <row r="94" spans="1:18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1:18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  <row r="96" spans="1:18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</row>
    <row r="97" spans="1:18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</row>
    <row r="98" spans="1:18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</row>
    <row r="99" spans="1:18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1:18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</sheetData>
  <mergeCells count="17">
    <mergeCell ref="M4:M5"/>
    <mergeCell ref="N4:N5"/>
    <mergeCell ref="O4:O5"/>
    <mergeCell ref="P4:P5"/>
    <mergeCell ref="Q4:Q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39370078740157483" top="0.39370078740157483" bottom="0.39370078740157483" header="0" footer="0"/>
  <pageSetup paperSize="9" scale="80" orientation="landscape" horizontalDpi="4294967293" r:id="rId1"/>
  <headerFooter alignWithMargins="0"/>
  <rowBreaks count="1" manualBreakCount="1">
    <brk id="44" max="16383" man="1"/>
  </rowBreaks>
  <colBreaks count="1" manualBreakCount="1">
    <brk id="11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7</vt:i4>
      </vt:variant>
    </vt:vector>
  </HeadingPairs>
  <TitlesOfParts>
    <vt:vector size="31" baseType="lpstr">
      <vt:lpstr>Presupuesto 2019</vt:lpstr>
      <vt:lpstr>Cartera Actual</vt:lpstr>
      <vt:lpstr>Comparación Reestructuración</vt:lpstr>
      <vt:lpstr>Perfil Oferta Abril</vt:lpstr>
      <vt:lpstr>Perfil Oferta Julio</vt:lpstr>
      <vt:lpstr>Perfil Bonos Viejos</vt:lpstr>
      <vt:lpstr>BV Valores Mercado</vt:lpstr>
      <vt:lpstr>Notas Resultados Macro</vt:lpstr>
      <vt:lpstr>Diccio</vt:lpstr>
      <vt:lpstr>DICY</vt:lpstr>
      <vt:lpstr>PARY</vt:lpstr>
      <vt:lpstr>A2E3</vt:lpstr>
      <vt:lpstr>A2E2</vt:lpstr>
      <vt:lpstr>AA21</vt:lpstr>
      <vt:lpstr>A2E7</vt:lpstr>
      <vt:lpstr>A2E8</vt:lpstr>
      <vt:lpstr>AA26</vt:lpstr>
      <vt:lpstr>AA46</vt:lpstr>
      <vt:lpstr>AE48</vt:lpstr>
      <vt:lpstr>AL28</vt:lpstr>
      <vt:lpstr>AC17</vt:lpstr>
      <vt:lpstr>PBI-1980-2005</vt:lpstr>
      <vt:lpstr>PBI-2004-2019</vt:lpstr>
      <vt:lpstr>PBI Precios Corrientes</vt:lpstr>
      <vt:lpstr>'PBI Precios Corrientes'!Área_de_impresión</vt:lpstr>
      <vt:lpstr>'PBI-1980-2005'!Área_de_impresión</vt:lpstr>
      <vt:lpstr>'PBI-2004-2019'!Área_de_impresión</vt:lpstr>
      <vt:lpstr>Bonos_Nuevos</vt:lpstr>
      <vt:lpstr>Bonos_Viejos</vt:lpstr>
      <vt:lpstr>'PBI Precios Corrientes'!Títulos_a_imprimir</vt:lpstr>
      <vt:lpstr>'PBI-2004-2019'!Títulos_a_imprimir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Bruno</dc:creator>
  <cp:keywords/>
  <dc:description/>
  <cp:lastModifiedBy>Pablo Bruno</cp:lastModifiedBy>
  <cp:revision/>
  <dcterms:created xsi:type="dcterms:W3CDTF">2020-04-15T18:22:59Z</dcterms:created>
  <dcterms:modified xsi:type="dcterms:W3CDTF">2023-04-16T00:11:27Z</dcterms:modified>
  <cp:category/>
  <cp:contentStatus/>
</cp:coreProperties>
</file>